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<sst xmlns="http://schemas.openxmlformats.org/spreadsheetml/2006/main" count="729" uniqueCount="255">
  <si>
    <t>ОТЧЕТ ОБ ИСПОЛНЕНИИ БЮДЖЕТА</t>
  </si>
  <si>
    <t>КОДЫ</t>
  </si>
  <si>
    <t xml:space="preserve">Форма по ОКУД </t>
  </si>
  <si>
    <t>0503117</t>
  </si>
  <si>
    <t>на 1 декабря 2021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</si>
  <si>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</si>
  <si>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</si>
  <si>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</si>
  <si>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</si>
  <si>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</si>
  <si>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</si>
  <si>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</si>
  <si>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</si>
  <si>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</si>
  <si>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</si>
  <si>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</si>
  <si>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</si>
  <si>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</si>
  <si>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</si>
  <si>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</si>
  <si>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</si>
  <si>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</si>
  <si>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</si>
  <si>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</si>
  <si>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</si>
  <si>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</si>
  <si>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</si>
  <si>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</si>
  <si>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</si>
  <si>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</si>
  <si>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</si>
  <si>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</si>
  <si>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</si>
  <si>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</si>
  <si>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</si>
  <si>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</si>
  <si>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</si>
  <si>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</si>
  <si>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</si>
  <si>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</si>
  <si>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</si>
  <si>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</si>
  <si>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</si>
  <si>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</si>
  <si>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</si>
  <si>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</si>
  <si>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</si>
  <si>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</si>
  <si>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</si>
  <si>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</si>
  <si>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</si>
  <si>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</si>
  <si>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</si>
  <si>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</si>
  <si>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</si>
  <si>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</si>
  <si>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</si>
  <si>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</si>
  <si>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</si>
  <si>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</si>
  <si>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</si>
  <si>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</si>
  <si>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</si>
  <si>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</si>
  <si>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</si>
  <si>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</si>
  <si>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</si>
  <si>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</si>
  <si>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</si>
  <si>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</si>
  <si>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</si>
  <si>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</si>
  <si>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</si>
  <si>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</si>
  <si>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</si>
  <si>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650 11607090 10 0000 140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</si>
  <si>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</si>
  <si>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</si>
  <si>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</si>
  <si>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</si>
  <si>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</si>
  <si>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</si>
  <si>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</si>
  <si>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</si>
  <si>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</si>
  <si>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</si>
  <si>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</si>
  <si>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</si>
  <si>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</si>
  <si>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</si>
  <si>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</si>
  <si>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</si>
  <si>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</si>
  <si>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</si>
  <si>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сельских поселений</t>
  </si>
  <si>
    <t>650 21935118 10 0000 150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</si>
  <si>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</si>
  <si>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</si>
  <si>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</si>
  <si>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</si>
  <si>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</si>
  <si>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</si>
  <si>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</si>
  <si>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</si>
  <si>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</si>
  <si>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</si>
  <si>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</si>
  <si>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</si>
  <si>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650 0102 7000020701 121</t>
  </si>
  <si>
    <t>650 0102 7000020701 129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</si>
  <si>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</si>
  <si>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</si>
  <si>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</si>
  <si>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</si>
  <si>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</si>
  <si>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</si>
  <si>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</si>
  <si>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</si>
  <si>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</si>
  <si>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</si>
  <si>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</si>
  <si>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</si>
  <si>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</si>
  <si>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</si>
  <si>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</si>
  <si>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</si>
  <si>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</si>
  <si>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650 0104 7000020702 121</t>
  </si>
  <si>
    <t>650 0104 7000020702 129</t>
  </si>
  <si>
    <t>650 0104 7000020703 121</t>
  </si>
  <si>
    <t>650 0104 7000020703 129</t>
  </si>
  <si>
    <t>Перечисления другим бюджетам бюджетной системы Российской Федерации</t>
  </si>
  <si>
    <t>650 0106 7000089020 540</t>
  </si>
  <si>
    <t>251</t>
  </si>
  <si>
    <t>650 0106 7000099990 540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</si>
  <si>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</si>
  <si>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</si>
  <si>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</si>
  <si>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</si>
  <si>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</si>
  <si>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</si>
  <si>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</si>
  <si>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</si>
  <si>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</si>
  <si>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</si>
  <si>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</si>
  <si>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</si>
  <si>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</si>
  <si>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</si>
  <si>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</si>
  <si>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</si>
  <si>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</si>
  <si>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</si>
  <si>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</si>
  <si>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</si>
  <si>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</si>
  <si>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Иные выплаты текущего характера организациям</t>
  </si>
  <si>
    <t>297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</si>
  <si>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</si>
  <si>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</si>
  <si>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</si>
  <si>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</si>
  <si>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</si>
  <si>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</si>
  <si>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</si>
  <si>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</si>
  <si>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</si>
  <si>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650 0310 1420120803 244</t>
  </si>
  <si>
    <t>650 0310 1420199990 244</t>
  </si>
  <si>
    <t>650 0314 13000S2300 244</t>
  </si>
  <si>
    <t>650 0314 1310182300 244</t>
  </si>
  <si>
    <t>650 0314 13101S2300 244</t>
  </si>
  <si>
    <t>650 0314 1320182300 244</t>
  </si>
  <si>
    <t>Безвозмездные перечисления (передачи) текущего характера сектора государственного управления</t>
  </si>
  <si>
    <t>650 0401 7000085060 612</t>
  </si>
  <si>
    <t>241</t>
  </si>
  <si>
    <t>650 0405 0850120827 244</t>
  </si>
  <si>
    <t>650 0405 0850184200 244</t>
  </si>
  <si>
    <t>650 0405 7000099990 244</t>
  </si>
  <si>
    <t>650 0409 7000099990 244</t>
  </si>
  <si>
    <t>650 0410 1900220070 244</t>
  </si>
  <si>
    <t>650 0412 1600199990 244</t>
  </si>
  <si>
    <t>650 0412 2200399990 244</t>
  </si>
  <si>
    <t>650 0412 2200399990 245</t>
  </si>
  <si>
    <t>650 0412 7000089020 540</t>
  </si>
  <si>
    <t>650 0412 7000099990 244</t>
  </si>
  <si>
    <t>650 0501 1100199990 244</t>
  </si>
  <si>
    <t>650 0501 2200199990 244</t>
  </si>
  <si>
    <t>650 0501 2200299990 244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</si>
  <si>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</si>
  <si>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650 0502 7000020600 811</t>
  </si>
  <si>
    <t>24A</t>
  </si>
  <si>
    <t>650 0502 7000020813 811</t>
  </si>
  <si>
    <t>650 0502 7000099990 244</t>
  </si>
  <si>
    <t>650 0502 7000099990 811</t>
  </si>
  <si>
    <t>650 0503 1210120812 244</t>
  </si>
  <si>
    <t>650 0503 1210120826 244</t>
  </si>
  <si>
    <t>650 0503 1210199990 243</t>
  </si>
  <si>
    <t>650 0503 1210199990 244</t>
  </si>
  <si>
    <t>650 0503 12101L5760 244</t>
  </si>
  <si>
    <t>650 0503 1210299990 244</t>
  </si>
  <si>
    <t>Увеличение стоимости основных средств</t>
  </si>
  <si>
    <t>310</t>
  </si>
  <si>
    <t>650 0503 1210399990 244</t>
  </si>
  <si>
    <t>650 0503 1210499990 244</t>
  </si>
  <si>
    <t>650 0503 1210499990 247</t>
  </si>
  <si>
    <t>650 0503 1210599990 244</t>
  </si>
  <si>
    <t>650 0503 1210620804 244</t>
  </si>
  <si>
    <t>650 0503 1210682754 244</t>
  </si>
  <si>
    <t>650 0503 1210699990 244</t>
  </si>
  <si>
    <t>650 0503 12106S2754 244</t>
  </si>
  <si>
    <t>650 0503 122F255550 244</t>
  </si>
  <si>
    <t>650 0503 122F282600 244</t>
  </si>
  <si>
    <t>650 0503 122F2S2600 244</t>
  </si>
  <si>
    <t>650 0503 7000089020 540</t>
  </si>
  <si>
    <t>650 0605 7000020828 244</t>
  </si>
  <si>
    <t>650 0605 7000084290 121</t>
  </si>
  <si>
    <t>650 0605 7000084290 129</t>
  </si>
  <si>
    <t>650 0605 7000084290 244</t>
  </si>
  <si>
    <t>650 0707 7000020825 612</t>
  </si>
  <si>
    <t>650 0707 7000020829 612</t>
  </si>
  <si>
    <t>650 0801 0500100601 611</t>
  </si>
  <si>
    <t>650 0801 0500161990 611</t>
  </si>
  <si>
    <t>650 0801 0500200601 611</t>
  </si>
  <si>
    <t>650 0801 0500261990 611</t>
  </si>
  <si>
    <t>650 0801 1310199990 612</t>
  </si>
  <si>
    <t>650 0801 7000061990 612</t>
  </si>
  <si>
    <t>650 0907 7000020705 244</t>
  </si>
  <si>
    <t>Пенсии, пособия, выплачиваемые работодателями, нанимателями бывшим работникам</t>
  </si>
  <si>
    <t>650 1001 1900399990 312</t>
  </si>
  <si>
    <t>264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</si>
  <si>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</si>
  <si>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</si>
  <si>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</si>
  <si>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</si>
  <si>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</si>
  <si>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</si>
  <si>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</si>
  <si>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</si>
  <si>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</si>
  <si>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</si>
  <si>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</si>
  <si>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</si>
  <si>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</si>
  <si>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</si>
  <si>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</si>
  <si>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</si>
  <si>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</si>
  <si>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</si>
  <si>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</si>
  <si>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</si>
  <si>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</si>
  <si>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</si>
  <si>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 декабря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</si>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</sst>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zoomScalePageLayoutView="0" workbookViewId="0" topLeftCell="A1">
      <selection activeCell="Z13" sqref="Z1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44531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146553811.57</f>
        <v>146553811.57</v>
      </c>
      <c r="M12" s="21"/>
      <c r="N12" s="21">
        <f>131711913.73</f>
        <v>131711913.73</v>
      </c>
      <c r="O12" s="21"/>
      <c r="P12" s="21"/>
      <c r="Q12" s="21"/>
      <c r="R12" s="21"/>
      <c r="S12" s="22">
        <f>14841897.84</f>
        <v>14841897.84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2471000</f>
        <v>2471000</v>
      </c>
      <c r="M13" s="25"/>
      <c r="N13" s="25">
        <f>2348961.77</f>
        <v>2348961.77</v>
      </c>
      <c r="O13" s="25"/>
      <c r="P13" s="25"/>
      <c r="Q13" s="25"/>
      <c r="R13" s="25"/>
      <c r="S13" s="26">
        <f>122038.23</f>
        <v>122038.23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16300</f>
        <v>16300</v>
      </c>
      <c r="M14" s="25"/>
      <c r="N14" s="25">
        <f>16541.2</f>
        <v>16541.2</v>
      </c>
      <c r="O14" s="25"/>
      <c r="P14" s="25"/>
      <c r="Q14" s="25"/>
      <c r="R14" s="25"/>
      <c r="S14" s="27" t="s">
        <v>41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3301900</f>
        <v>3301900</v>
      </c>
      <c r="M15" s="25"/>
      <c r="N15" s="25">
        <f>3156556.59</f>
        <v>3156556.59</v>
      </c>
      <c r="O15" s="25"/>
      <c r="P15" s="25"/>
      <c r="Q15" s="25"/>
      <c r="R15" s="25"/>
      <c r="S15" s="26">
        <f>145343.41</f>
        <v>145343.41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-358400</f>
        <v>-358400</v>
      </c>
      <c r="M16" s="25"/>
      <c r="N16" s="25">
        <f>-392604.87</f>
        <v>-392604.87</v>
      </c>
      <c r="O16" s="25"/>
      <c r="P16" s="25"/>
      <c r="Q16" s="25"/>
      <c r="R16" s="25"/>
      <c r="S16" s="27" t="s">
        <v>41</v>
      </c>
      <c r="T16" s="27"/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20400000</f>
        <v>20400000</v>
      </c>
      <c r="M17" s="25"/>
      <c r="N17" s="25">
        <f>20106815.77</f>
        <v>20106815.77</v>
      </c>
      <c r="O17" s="25"/>
      <c r="P17" s="25"/>
      <c r="Q17" s="25"/>
      <c r="R17" s="25"/>
      <c r="S17" s="26">
        <f>293184.23</f>
        <v>293184.23</v>
      </c>
      <c r="T17" s="26"/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8" t="s">
        <v>41</v>
      </c>
      <c r="M18" s="28"/>
      <c r="N18" s="25">
        <f>1580.08</f>
        <v>1580.08</v>
      </c>
      <c r="O18" s="25"/>
      <c r="P18" s="25"/>
      <c r="Q18" s="25"/>
      <c r="R18" s="25"/>
      <c r="S18" s="27" t="s">
        <v>41</v>
      </c>
      <c r="T18" s="27"/>
      <c r="U18" s="27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8" t="s">
        <v>41</v>
      </c>
      <c r="M19" s="28"/>
      <c r="N19" s="25">
        <f>74872.43</f>
        <v>74872.43</v>
      </c>
      <c r="O19" s="25"/>
      <c r="P19" s="25"/>
      <c r="Q19" s="25"/>
      <c r="R19" s="25"/>
      <c r="S19" s="27" t="s">
        <v>41</v>
      </c>
      <c r="T19" s="27"/>
      <c r="U19" s="27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3000</f>
        <v>3000</v>
      </c>
      <c r="M20" s="25"/>
      <c r="N20" s="25">
        <f>2840.87</f>
        <v>2840.87</v>
      </c>
      <c r="O20" s="25"/>
      <c r="P20" s="25"/>
      <c r="Q20" s="25"/>
      <c r="R20" s="25"/>
      <c r="S20" s="26">
        <f>159.13</f>
        <v>159.13</v>
      </c>
      <c r="T20" s="26"/>
      <c r="U20" s="26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900000</f>
        <v>900000</v>
      </c>
      <c r="M21" s="25"/>
      <c r="N21" s="25">
        <f>1289563.63</f>
        <v>1289563.63</v>
      </c>
      <c r="O21" s="25"/>
      <c r="P21" s="25"/>
      <c r="Q21" s="25"/>
      <c r="R21" s="25"/>
      <c r="S21" s="27" t="s">
        <v>41</v>
      </c>
      <c r="T21" s="27"/>
      <c r="U21" s="27"/>
    </row>
    <row r="22" spans="1:21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93713</f>
        <v>93713</v>
      </c>
      <c r="M22" s="25"/>
      <c r="N22" s="25">
        <f>107378.31</f>
        <v>107378.31</v>
      </c>
      <c r="O22" s="25"/>
      <c r="P22" s="25"/>
      <c r="Q22" s="25"/>
      <c r="R22" s="25"/>
      <c r="S22" s="27" t="s">
        <v>41</v>
      </c>
      <c r="T22" s="27"/>
      <c r="U22" s="27"/>
    </row>
    <row r="23" spans="1:21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191917</f>
        <v>191917</v>
      </c>
      <c r="M23" s="25"/>
      <c r="N23" s="25">
        <f>135611.49</f>
        <v>135611.49</v>
      </c>
      <c r="O23" s="25"/>
      <c r="P23" s="25"/>
      <c r="Q23" s="25"/>
      <c r="R23" s="25"/>
      <c r="S23" s="26">
        <f>56305.51</f>
        <v>56305.51</v>
      </c>
      <c r="T23" s="26"/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3700000</f>
        <v>3700000</v>
      </c>
      <c r="M24" s="25"/>
      <c r="N24" s="25">
        <f>3679101.07</f>
        <v>3679101.07</v>
      </c>
      <c r="O24" s="25"/>
      <c r="P24" s="25"/>
      <c r="Q24" s="25"/>
      <c r="R24" s="25"/>
      <c r="S24" s="26">
        <f>20898.93</f>
        <v>20898.93</v>
      </c>
      <c r="T24" s="26"/>
      <c r="U24" s="26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290000</f>
        <v>290000</v>
      </c>
      <c r="M25" s="25"/>
      <c r="N25" s="25">
        <f>279901.92</f>
        <v>279901.92</v>
      </c>
      <c r="O25" s="25"/>
      <c r="P25" s="25"/>
      <c r="Q25" s="25"/>
      <c r="R25" s="25"/>
      <c r="S25" s="26">
        <f>10098.08</f>
        <v>10098.08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8" t="s">
        <v>41</v>
      </c>
      <c r="M26" s="28"/>
      <c r="N26" s="25">
        <f>-9527.53</f>
        <v>-9527.53</v>
      </c>
      <c r="O26" s="25"/>
      <c r="P26" s="25"/>
      <c r="Q26" s="25"/>
      <c r="R26" s="25"/>
      <c r="S26" s="27" t="s">
        <v>41</v>
      </c>
      <c r="T26" s="27"/>
      <c r="U26" s="27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6350.7</f>
        <v>6350.7</v>
      </c>
      <c r="M27" s="25"/>
      <c r="N27" s="25">
        <f>4344.23</f>
        <v>4344.23</v>
      </c>
      <c r="O27" s="25"/>
      <c r="P27" s="25"/>
      <c r="Q27" s="25"/>
      <c r="R27" s="25"/>
      <c r="S27" s="26">
        <f>2006.47</f>
        <v>2006.47</v>
      </c>
      <c r="T27" s="26"/>
      <c r="U27" s="2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6011836.48</f>
        <v>6011836.48</v>
      </c>
      <c r="M28" s="25"/>
      <c r="N28" s="25">
        <f>5397214.33</f>
        <v>5397214.33</v>
      </c>
      <c r="O28" s="25"/>
      <c r="P28" s="25"/>
      <c r="Q28" s="25"/>
      <c r="R28" s="25"/>
      <c r="S28" s="26">
        <f>614622.15</f>
        <v>614622.15</v>
      </c>
      <c r="T28" s="26"/>
      <c r="U28" s="26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278640.21</f>
        <v>278640.21</v>
      </c>
      <c r="M29" s="25"/>
      <c r="N29" s="25">
        <f>278640.21</f>
        <v>278640.21</v>
      </c>
      <c r="O29" s="25"/>
      <c r="P29" s="25"/>
      <c r="Q29" s="25"/>
      <c r="R29" s="25"/>
      <c r="S29" s="26">
        <f>0</f>
        <v>0</v>
      </c>
      <c r="T29" s="26"/>
      <c r="U29" s="26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8184000</f>
        <v>8184000</v>
      </c>
      <c r="M30" s="25"/>
      <c r="N30" s="25">
        <f>8675757.11</f>
        <v>8675757.11</v>
      </c>
      <c r="O30" s="25"/>
      <c r="P30" s="25"/>
      <c r="Q30" s="25"/>
      <c r="R30" s="25"/>
      <c r="S30" s="27" t="s">
        <v>41</v>
      </c>
      <c r="T30" s="27"/>
      <c r="U30" s="27"/>
    </row>
    <row r="31" spans="1:21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52588.95</f>
        <v>52588.95</v>
      </c>
      <c r="M31" s="25"/>
      <c r="N31" s="25">
        <f>52588.95</f>
        <v>52588.95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8" t="s">
        <v>41</v>
      </c>
      <c r="M32" s="28"/>
      <c r="N32" s="25">
        <f>0</f>
        <v>0</v>
      </c>
      <c r="O32" s="25"/>
      <c r="P32" s="25"/>
      <c r="Q32" s="25"/>
      <c r="R32" s="25"/>
      <c r="S32" s="27" t="s">
        <v>41</v>
      </c>
      <c r="T32" s="27"/>
      <c r="U32" s="27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0</f>
        <v>0</v>
      </c>
      <c r="M33" s="25"/>
      <c r="N33" s="25">
        <f>0</f>
        <v>0</v>
      </c>
      <c r="O33" s="25"/>
      <c r="P33" s="25"/>
      <c r="Q33" s="25"/>
      <c r="R33" s="25"/>
      <c r="S33" s="27" t="s">
        <v>41</v>
      </c>
      <c r="T33" s="27"/>
      <c r="U33" s="27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68659876.8</f>
        <v>68659876.8</v>
      </c>
      <c r="M34" s="25"/>
      <c r="N34" s="25">
        <f>63117968.46</f>
        <v>63117968.46</v>
      </c>
      <c r="O34" s="25"/>
      <c r="P34" s="25"/>
      <c r="Q34" s="25"/>
      <c r="R34" s="25"/>
      <c r="S34" s="26">
        <f>5541908.34</f>
        <v>5541908.34</v>
      </c>
      <c r="T34" s="26"/>
      <c r="U34" s="26"/>
    </row>
    <row r="35" spans="1:21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9711267.37</f>
        <v>9711267.37</v>
      </c>
      <c r="M35" s="25"/>
      <c r="N35" s="25">
        <f>3307978.28</f>
        <v>3307978.28</v>
      </c>
      <c r="O35" s="25"/>
      <c r="P35" s="25"/>
      <c r="Q35" s="25"/>
      <c r="R35" s="25"/>
      <c r="S35" s="26">
        <f>6403289.09</f>
        <v>6403289.09</v>
      </c>
      <c r="T35" s="26"/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25412.94</f>
        <v>25412.94</v>
      </c>
      <c r="M36" s="25"/>
      <c r="N36" s="25">
        <f>21664.67</f>
        <v>21664.67</v>
      </c>
      <c r="O36" s="25"/>
      <c r="P36" s="25"/>
      <c r="Q36" s="25"/>
      <c r="R36" s="25"/>
      <c r="S36" s="26">
        <f>3748.27</f>
        <v>3748.27</v>
      </c>
      <c r="T36" s="26"/>
      <c r="U36" s="26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87</v>
      </c>
      <c r="K37" s="24"/>
      <c r="L37" s="25">
        <f>528649.44</f>
        <v>528649.44</v>
      </c>
      <c r="M37" s="25"/>
      <c r="N37" s="25">
        <f>482036.61</f>
        <v>482036.61</v>
      </c>
      <c r="O37" s="25"/>
      <c r="P37" s="25"/>
      <c r="Q37" s="25"/>
      <c r="R37" s="25"/>
      <c r="S37" s="26">
        <f>46612.83</f>
        <v>46612.83</v>
      </c>
      <c r="T37" s="26"/>
      <c r="U37" s="26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89</v>
      </c>
      <c r="K38" s="24"/>
      <c r="L38" s="25">
        <f>155600</f>
        <v>155600</v>
      </c>
      <c r="M38" s="25"/>
      <c r="N38" s="25">
        <f>116143.79</f>
        <v>116143.79</v>
      </c>
      <c r="O38" s="25"/>
      <c r="P38" s="25"/>
      <c r="Q38" s="25"/>
      <c r="R38" s="25"/>
      <c r="S38" s="26">
        <f>39456.21</f>
        <v>39456.21</v>
      </c>
      <c r="T38" s="26"/>
      <c r="U38" s="26"/>
    </row>
    <row r="39" spans="1:21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91</v>
      </c>
      <c r="K39" s="24"/>
      <c r="L39" s="25">
        <f>21930158.68</f>
        <v>21930158.68</v>
      </c>
      <c r="M39" s="25"/>
      <c r="N39" s="25">
        <f>19434859.51</f>
        <v>19434859.51</v>
      </c>
      <c r="O39" s="25"/>
      <c r="P39" s="25"/>
      <c r="Q39" s="25"/>
      <c r="R39" s="25"/>
      <c r="S39" s="26">
        <f>2495299.17</f>
        <v>2495299.17</v>
      </c>
      <c r="T39" s="26"/>
      <c r="U39" s="26"/>
    </row>
    <row r="40" spans="1:21" s="1" customFormat="1" ht="54.75" customHeight="1">
      <c r="A40" s="23" t="s">
        <v>92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93</v>
      </c>
      <c r="K40" s="24"/>
      <c r="L40" s="28" t="s">
        <v>41</v>
      </c>
      <c r="M40" s="28"/>
      <c r="N40" s="25">
        <f>-5726.71</f>
        <v>-5726.71</v>
      </c>
      <c r="O40" s="25"/>
      <c r="P40" s="25"/>
      <c r="Q40" s="25"/>
      <c r="R40" s="25"/>
      <c r="S40" s="27" t="s">
        <v>41</v>
      </c>
      <c r="T40" s="27"/>
      <c r="U40" s="27"/>
    </row>
    <row r="41" spans="1:21" s="1" customFormat="1" ht="33.75" customHeight="1">
      <c r="A41" s="23" t="s">
        <v>94</v>
      </c>
      <c r="B41" s="23"/>
      <c r="C41" s="23"/>
      <c r="D41" s="23"/>
      <c r="E41" s="23"/>
      <c r="F41" s="23"/>
      <c r="G41" s="23"/>
      <c r="H41" s="24" t="s">
        <v>35</v>
      </c>
      <c r="I41" s="24"/>
      <c r="J41" s="24" t="s">
        <v>95</v>
      </c>
      <c r="K41" s="24"/>
      <c r="L41" s="28" t="s">
        <v>41</v>
      </c>
      <c r="M41" s="28"/>
      <c r="N41" s="25">
        <f>30851.56</f>
        <v>30851.56</v>
      </c>
      <c r="O41" s="25"/>
      <c r="P41" s="25"/>
      <c r="Q41" s="25"/>
      <c r="R41" s="25"/>
      <c r="S41" s="27" t="s">
        <v>41</v>
      </c>
      <c r="T41" s="27"/>
      <c r="U41" s="27"/>
    </row>
    <row r="42" spans="1:21" s="1" customFormat="1" ht="13.5" customHeight="1">
      <c r="A42" s="29" t="s">
        <v>10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1" customFormat="1" ht="13.5" customHeight="1">
      <c r="A43" s="12" t="s">
        <v>96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" customFormat="1" ht="34.5" customHeight="1">
      <c r="A44" s="13" t="s">
        <v>22</v>
      </c>
      <c r="B44" s="13"/>
      <c r="C44" s="13"/>
      <c r="D44" s="13"/>
      <c r="E44" s="13"/>
      <c r="F44" s="13"/>
      <c r="G44" s="13" t="s">
        <v>23</v>
      </c>
      <c r="H44" s="13"/>
      <c r="I44" s="13" t="s">
        <v>97</v>
      </c>
      <c r="J44" s="13"/>
      <c r="K44" s="14" t="s">
        <v>98</v>
      </c>
      <c r="L44" s="14"/>
      <c r="M44" s="14" t="s">
        <v>25</v>
      </c>
      <c r="N44" s="14"/>
      <c r="O44" s="14" t="s">
        <v>26</v>
      </c>
      <c r="P44" s="14"/>
      <c r="Q44" s="14"/>
      <c r="R44" s="14"/>
      <c r="S44" s="14"/>
      <c r="T44" s="15" t="s">
        <v>27</v>
      </c>
      <c r="U44" s="15"/>
    </row>
    <row r="45" spans="1:21" s="1" customFormat="1" ht="13.5" customHeight="1">
      <c r="A45" s="16" t="s">
        <v>28</v>
      </c>
      <c r="B45" s="16"/>
      <c r="C45" s="16"/>
      <c r="D45" s="16"/>
      <c r="E45" s="16"/>
      <c r="F45" s="16"/>
      <c r="G45" s="16" t="s">
        <v>29</v>
      </c>
      <c r="H45" s="16"/>
      <c r="I45" s="16" t="s">
        <v>30</v>
      </c>
      <c r="J45" s="16"/>
      <c r="K45" s="17" t="s">
        <v>31</v>
      </c>
      <c r="L45" s="17"/>
      <c r="M45" s="17" t="s">
        <v>32</v>
      </c>
      <c r="N45" s="17"/>
      <c r="O45" s="17" t="s">
        <v>33</v>
      </c>
      <c r="P45" s="17"/>
      <c r="Q45" s="17"/>
      <c r="R45" s="17"/>
      <c r="S45" s="17"/>
      <c r="T45" s="18" t="s">
        <v>99</v>
      </c>
      <c r="U45" s="18"/>
    </row>
    <row r="46" spans="1:21" s="1" customFormat="1" ht="13.5" customHeight="1">
      <c r="A46" s="19" t="s">
        <v>100</v>
      </c>
      <c r="B46" s="19"/>
      <c r="C46" s="19"/>
      <c r="D46" s="19"/>
      <c r="E46" s="19"/>
      <c r="F46" s="19"/>
      <c r="G46" s="20" t="s">
        <v>101</v>
      </c>
      <c r="H46" s="20"/>
      <c r="I46" s="20" t="s">
        <v>36</v>
      </c>
      <c r="J46" s="20"/>
      <c r="K46" s="30" t="s">
        <v>36</v>
      </c>
      <c r="L46" s="30"/>
      <c r="M46" s="21">
        <f>162019116.87</f>
        <v>162019116.87</v>
      </c>
      <c r="N46" s="21"/>
      <c r="O46" s="21">
        <f>132878994.88</f>
        <v>132878994.88</v>
      </c>
      <c r="P46" s="21"/>
      <c r="Q46" s="21"/>
      <c r="R46" s="21"/>
      <c r="S46" s="21"/>
      <c r="T46" s="22">
        <f>29140121.99</f>
        <v>29140121.99</v>
      </c>
      <c r="U46" s="22"/>
    </row>
    <row r="47" spans="1:21" s="1" customFormat="1" ht="13.5" customHeight="1">
      <c r="A47" s="31" t="s">
        <v>102</v>
      </c>
      <c r="B47" s="31"/>
      <c r="C47" s="31"/>
      <c r="D47" s="31"/>
      <c r="E47" s="31"/>
      <c r="F47" s="31"/>
      <c r="G47" s="32" t="s">
        <v>101</v>
      </c>
      <c r="H47" s="32"/>
      <c r="I47" s="32" t="s">
        <v>103</v>
      </c>
      <c r="J47" s="32"/>
      <c r="K47" s="33" t="s">
        <v>104</v>
      </c>
      <c r="L47" s="33"/>
      <c r="M47" s="34">
        <f>1634300</f>
        <v>1634300</v>
      </c>
      <c r="N47" s="34"/>
      <c r="O47" s="34">
        <f>1423217.5</f>
        <v>1423217.5</v>
      </c>
      <c r="P47" s="34"/>
      <c r="Q47" s="34"/>
      <c r="R47" s="34"/>
      <c r="S47" s="34"/>
      <c r="T47" s="35">
        <f>211082.5</f>
        <v>211082.5</v>
      </c>
      <c r="U47" s="35"/>
    </row>
    <row r="48" spans="1:21" s="1" customFormat="1" ht="13.5" customHeight="1">
      <c r="A48" s="31" t="s">
        <v>105</v>
      </c>
      <c r="B48" s="31"/>
      <c r="C48" s="31"/>
      <c r="D48" s="31"/>
      <c r="E48" s="31"/>
      <c r="F48" s="31"/>
      <c r="G48" s="32" t="s">
        <v>101</v>
      </c>
      <c r="H48" s="32"/>
      <c r="I48" s="32" t="s">
        <v>106</v>
      </c>
      <c r="J48" s="32"/>
      <c r="K48" s="33" t="s">
        <v>107</v>
      </c>
      <c r="L48" s="33"/>
      <c r="M48" s="34">
        <f>453700</f>
        <v>453700</v>
      </c>
      <c r="N48" s="34"/>
      <c r="O48" s="34">
        <f>408521.9</f>
        <v>408521.9</v>
      </c>
      <c r="P48" s="34"/>
      <c r="Q48" s="34"/>
      <c r="R48" s="34"/>
      <c r="S48" s="34"/>
      <c r="T48" s="35">
        <f>45178.1</f>
        <v>45178.1</v>
      </c>
      <c r="U48" s="35"/>
    </row>
    <row r="49" spans="1:21" s="1" customFormat="1" ht="13.5" customHeight="1">
      <c r="A49" s="31" t="s">
        <v>102</v>
      </c>
      <c r="B49" s="31"/>
      <c r="C49" s="31"/>
      <c r="D49" s="31"/>
      <c r="E49" s="31"/>
      <c r="F49" s="31"/>
      <c r="G49" s="32" t="s">
        <v>101</v>
      </c>
      <c r="H49" s="32"/>
      <c r="I49" s="32" t="s">
        <v>108</v>
      </c>
      <c r="J49" s="32"/>
      <c r="K49" s="33" t="s">
        <v>104</v>
      </c>
      <c r="L49" s="33"/>
      <c r="M49" s="34">
        <f>11750</f>
        <v>11750</v>
      </c>
      <c r="N49" s="34"/>
      <c r="O49" s="34">
        <f>11750</f>
        <v>11750</v>
      </c>
      <c r="P49" s="34"/>
      <c r="Q49" s="34"/>
      <c r="R49" s="34"/>
      <c r="S49" s="34"/>
      <c r="T49" s="35">
        <f>0</f>
        <v>0</v>
      </c>
      <c r="U49" s="35"/>
    </row>
    <row r="50" spans="1:21" s="1" customFormat="1" ht="13.5" customHeight="1">
      <c r="A50" s="31" t="s">
        <v>105</v>
      </c>
      <c r="B50" s="31"/>
      <c r="C50" s="31"/>
      <c r="D50" s="31"/>
      <c r="E50" s="31"/>
      <c r="F50" s="31"/>
      <c r="G50" s="32" t="s">
        <v>101</v>
      </c>
      <c r="H50" s="32"/>
      <c r="I50" s="32" t="s">
        <v>109</v>
      </c>
      <c r="J50" s="32"/>
      <c r="K50" s="33" t="s">
        <v>107</v>
      </c>
      <c r="L50" s="33"/>
      <c r="M50" s="34">
        <f>3207.75</f>
        <v>3207.75</v>
      </c>
      <c r="N50" s="34"/>
      <c r="O50" s="34">
        <f>3207.75</f>
        <v>3207.75</v>
      </c>
      <c r="P50" s="34"/>
      <c r="Q50" s="34"/>
      <c r="R50" s="34"/>
      <c r="S50" s="34"/>
      <c r="T50" s="35">
        <f>0</f>
        <v>0</v>
      </c>
      <c r="U50" s="35"/>
    </row>
    <row r="51" spans="1:21" s="1" customFormat="1" ht="13.5" customHeight="1">
      <c r="A51" s="31" t="s">
        <v>102</v>
      </c>
      <c r="B51" s="31"/>
      <c r="C51" s="31"/>
      <c r="D51" s="31"/>
      <c r="E51" s="31"/>
      <c r="F51" s="31"/>
      <c r="G51" s="32" t="s">
        <v>101</v>
      </c>
      <c r="H51" s="32"/>
      <c r="I51" s="32" t="s">
        <v>110</v>
      </c>
      <c r="J51" s="32"/>
      <c r="K51" s="33" t="s">
        <v>104</v>
      </c>
      <c r="L51" s="33"/>
      <c r="M51" s="34">
        <f>13282000</f>
        <v>13282000</v>
      </c>
      <c r="N51" s="34"/>
      <c r="O51" s="34">
        <f>11579279.2</f>
        <v>11579279.2</v>
      </c>
      <c r="P51" s="34"/>
      <c r="Q51" s="34"/>
      <c r="R51" s="34"/>
      <c r="S51" s="34"/>
      <c r="T51" s="35">
        <f>1702720.8</f>
        <v>1702720.8</v>
      </c>
      <c r="U51" s="35"/>
    </row>
    <row r="52" spans="1:21" s="1" customFormat="1" ht="13.5" customHeight="1">
      <c r="A52" s="31" t="s">
        <v>111</v>
      </c>
      <c r="B52" s="31"/>
      <c r="C52" s="31"/>
      <c r="D52" s="31"/>
      <c r="E52" s="31"/>
      <c r="F52" s="31"/>
      <c r="G52" s="32" t="s">
        <v>101</v>
      </c>
      <c r="H52" s="32"/>
      <c r="I52" s="32" t="s">
        <v>110</v>
      </c>
      <c r="J52" s="32"/>
      <c r="K52" s="33" t="s">
        <v>112</v>
      </c>
      <c r="L52" s="33"/>
      <c r="M52" s="34">
        <f>105592.59</f>
        <v>105592.59</v>
      </c>
      <c r="N52" s="34"/>
      <c r="O52" s="34">
        <f>91881.78</f>
        <v>91881.78</v>
      </c>
      <c r="P52" s="34"/>
      <c r="Q52" s="34"/>
      <c r="R52" s="34"/>
      <c r="S52" s="34"/>
      <c r="T52" s="35">
        <f>13710.81</f>
        <v>13710.81</v>
      </c>
      <c r="U52" s="35"/>
    </row>
    <row r="53" spans="1:21" s="1" customFormat="1" ht="13.5" customHeight="1">
      <c r="A53" s="31" t="s">
        <v>105</v>
      </c>
      <c r="B53" s="31"/>
      <c r="C53" s="31"/>
      <c r="D53" s="31"/>
      <c r="E53" s="31"/>
      <c r="F53" s="31"/>
      <c r="G53" s="32" t="s">
        <v>101</v>
      </c>
      <c r="H53" s="32"/>
      <c r="I53" s="32" t="s">
        <v>113</v>
      </c>
      <c r="J53" s="32"/>
      <c r="K53" s="33" t="s">
        <v>107</v>
      </c>
      <c r="L53" s="33"/>
      <c r="M53" s="34">
        <f>3956200</f>
        <v>3956200</v>
      </c>
      <c r="N53" s="34"/>
      <c r="O53" s="34">
        <f>3269406.51</f>
        <v>3269406.51</v>
      </c>
      <c r="P53" s="34"/>
      <c r="Q53" s="34"/>
      <c r="R53" s="34"/>
      <c r="S53" s="34"/>
      <c r="T53" s="35">
        <f>686793.49</f>
        <v>686793.49</v>
      </c>
      <c r="U53" s="35"/>
    </row>
    <row r="54" spans="1:21" s="1" customFormat="1" ht="13.5" customHeight="1">
      <c r="A54" s="31" t="s">
        <v>102</v>
      </c>
      <c r="B54" s="31"/>
      <c r="C54" s="31"/>
      <c r="D54" s="31"/>
      <c r="E54" s="31"/>
      <c r="F54" s="31"/>
      <c r="G54" s="32" t="s">
        <v>101</v>
      </c>
      <c r="H54" s="32"/>
      <c r="I54" s="32" t="s">
        <v>114</v>
      </c>
      <c r="J54" s="32"/>
      <c r="K54" s="33" t="s">
        <v>104</v>
      </c>
      <c r="L54" s="33"/>
      <c r="M54" s="34">
        <f>4580000</f>
        <v>4580000</v>
      </c>
      <c r="N54" s="34"/>
      <c r="O54" s="34">
        <f>3831955.66</f>
        <v>3831955.66</v>
      </c>
      <c r="P54" s="34"/>
      <c r="Q54" s="34"/>
      <c r="R54" s="34"/>
      <c r="S54" s="34"/>
      <c r="T54" s="35">
        <f>748044.34</f>
        <v>748044.34</v>
      </c>
      <c r="U54" s="35"/>
    </row>
    <row r="55" spans="1:21" s="1" customFormat="1" ht="13.5" customHeight="1">
      <c r="A55" s="31" t="s">
        <v>111</v>
      </c>
      <c r="B55" s="31"/>
      <c r="C55" s="31"/>
      <c r="D55" s="31"/>
      <c r="E55" s="31"/>
      <c r="F55" s="31"/>
      <c r="G55" s="32" t="s">
        <v>101</v>
      </c>
      <c r="H55" s="32"/>
      <c r="I55" s="32" t="s">
        <v>114</v>
      </c>
      <c r="J55" s="32"/>
      <c r="K55" s="33" t="s">
        <v>112</v>
      </c>
      <c r="L55" s="33"/>
      <c r="M55" s="34">
        <f>32407.41</f>
        <v>32407.41</v>
      </c>
      <c r="N55" s="34"/>
      <c r="O55" s="34">
        <f>22967.97</f>
        <v>22967.97</v>
      </c>
      <c r="P55" s="34"/>
      <c r="Q55" s="34"/>
      <c r="R55" s="34"/>
      <c r="S55" s="34"/>
      <c r="T55" s="35">
        <f>9439.44</f>
        <v>9439.44</v>
      </c>
      <c r="U55" s="35"/>
    </row>
    <row r="56" spans="1:21" s="1" customFormat="1" ht="13.5" customHeight="1">
      <c r="A56" s="31" t="s">
        <v>105</v>
      </c>
      <c r="B56" s="31"/>
      <c r="C56" s="31"/>
      <c r="D56" s="31"/>
      <c r="E56" s="31"/>
      <c r="F56" s="31"/>
      <c r="G56" s="32" t="s">
        <v>101</v>
      </c>
      <c r="H56" s="32"/>
      <c r="I56" s="32" t="s">
        <v>115</v>
      </c>
      <c r="J56" s="32"/>
      <c r="K56" s="33" t="s">
        <v>107</v>
      </c>
      <c r="L56" s="33"/>
      <c r="M56" s="34">
        <f>1463500</f>
        <v>1463500</v>
      </c>
      <c r="N56" s="34"/>
      <c r="O56" s="34">
        <f>1045810.5</f>
        <v>1045810.5</v>
      </c>
      <c r="P56" s="34"/>
      <c r="Q56" s="34"/>
      <c r="R56" s="34"/>
      <c r="S56" s="34"/>
      <c r="T56" s="35">
        <f>417689.5</f>
        <v>417689.5</v>
      </c>
      <c r="U56" s="35"/>
    </row>
    <row r="57" spans="1:21" s="1" customFormat="1" ht="13.5" customHeight="1">
      <c r="A57" s="31" t="s">
        <v>116</v>
      </c>
      <c r="B57" s="31"/>
      <c r="C57" s="31"/>
      <c r="D57" s="31"/>
      <c r="E57" s="31"/>
      <c r="F57" s="31"/>
      <c r="G57" s="32" t="s">
        <v>101</v>
      </c>
      <c r="H57" s="32"/>
      <c r="I57" s="32" t="s">
        <v>117</v>
      </c>
      <c r="J57" s="32"/>
      <c r="K57" s="33" t="s">
        <v>118</v>
      </c>
      <c r="L57" s="33"/>
      <c r="M57" s="34">
        <f>12000</f>
        <v>12000</v>
      </c>
      <c r="N57" s="34"/>
      <c r="O57" s="34">
        <f>2210</f>
        <v>2210</v>
      </c>
      <c r="P57" s="34"/>
      <c r="Q57" s="34"/>
      <c r="R57" s="34"/>
      <c r="S57" s="34"/>
      <c r="T57" s="35">
        <f>9790</f>
        <v>9790</v>
      </c>
      <c r="U57" s="35"/>
    </row>
    <row r="58" spans="1:21" s="1" customFormat="1" ht="13.5" customHeight="1">
      <c r="A58" s="31" t="s">
        <v>119</v>
      </c>
      <c r="B58" s="31"/>
      <c r="C58" s="31"/>
      <c r="D58" s="31"/>
      <c r="E58" s="31"/>
      <c r="F58" s="31"/>
      <c r="G58" s="32" t="s">
        <v>101</v>
      </c>
      <c r="H58" s="32"/>
      <c r="I58" s="32" t="s">
        <v>117</v>
      </c>
      <c r="J58" s="32"/>
      <c r="K58" s="33" t="s">
        <v>120</v>
      </c>
      <c r="L58" s="33"/>
      <c r="M58" s="34">
        <f>660000</f>
        <v>660000</v>
      </c>
      <c r="N58" s="34"/>
      <c r="O58" s="34">
        <f>463045.91</f>
        <v>463045.91</v>
      </c>
      <c r="P58" s="34"/>
      <c r="Q58" s="34"/>
      <c r="R58" s="34"/>
      <c r="S58" s="34"/>
      <c r="T58" s="35">
        <f>196954.09</f>
        <v>196954.09</v>
      </c>
      <c r="U58" s="35"/>
    </row>
    <row r="59" spans="1:21" s="1" customFormat="1" ht="13.5" customHeight="1">
      <c r="A59" s="31" t="s">
        <v>121</v>
      </c>
      <c r="B59" s="31"/>
      <c r="C59" s="31"/>
      <c r="D59" s="31"/>
      <c r="E59" s="31"/>
      <c r="F59" s="31"/>
      <c r="G59" s="32" t="s">
        <v>101</v>
      </c>
      <c r="H59" s="32"/>
      <c r="I59" s="32" t="s">
        <v>117</v>
      </c>
      <c r="J59" s="32"/>
      <c r="K59" s="33" t="s">
        <v>122</v>
      </c>
      <c r="L59" s="33"/>
      <c r="M59" s="34">
        <f>12000</f>
        <v>12000</v>
      </c>
      <c r="N59" s="34"/>
      <c r="O59" s="36" t="s">
        <v>41</v>
      </c>
      <c r="P59" s="36"/>
      <c r="Q59" s="36"/>
      <c r="R59" s="36"/>
      <c r="S59" s="36"/>
      <c r="T59" s="35">
        <f>12000</f>
        <v>12000</v>
      </c>
      <c r="U59" s="35"/>
    </row>
    <row r="60" spans="1:21" s="1" customFormat="1" ht="13.5" customHeight="1">
      <c r="A60" s="31" t="s">
        <v>123</v>
      </c>
      <c r="B60" s="31"/>
      <c r="C60" s="31"/>
      <c r="D60" s="31"/>
      <c r="E60" s="31"/>
      <c r="F60" s="31"/>
      <c r="G60" s="32" t="s">
        <v>101</v>
      </c>
      <c r="H60" s="32"/>
      <c r="I60" s="32" t="s">
        <v>117</v>
      </c>
      <c r="J60" s="32"/>
      <c r="K60" s="33" t="s">
        <v>124</v>
      </c>
      <c r="L60" s="33"/>
      <c r="M60" s="34">
        <f>10000</f>
        <v>10000</v>
      </c>
      <c r="N60" s="34"/>
      <c r="O60" s="36" t="s">
        <v>41</v>
      </c>
      <c r="P60" s="36"/>
      <c r="Q60" s="36"/>
      <c r="R60" s="36"/>
      <c r="S60" s="36"/>
      <c r="T60" s="35">
        <f>10000</f>
        <v>10000</v>
      </c>
      <c r="U60" s="35"/>
    </row>
    <row r="61" spans="1:21" s="1" customFormat="1" ht="13.5" customHeight="1">
      <c r="A61" s="31" t="s">
        <v>125</v>
      </c>
      <c r="B61" s="31"/>
      <c r="C61" s="31"/>
      <c r="D61" s="31"/>
      <c r="E61" s="31"/>
      <c r="F61" s="31"/>
      <c r="G61" s="32" t="s">
        <v>101</v>
      </c>
      <c r="H61" s="32"/>
      <c r="I61" s="32" t="s">
        <v>117</v>
      </c>
      <c r="J61" s="32"/>
      <c r="K61" s="33" t="s">
        <v>126</v>
      </c>
      <c r="L61" s="33"/>
      <c r="M61" s="34">
        <f>150000</f>
        <v>150000</v>
      </c>
      <c r="N61" s="34"/>
      <c r="O61" s="34">
        <f>54282.05</f>
        <v>54282.05</v>
      </c>
      <c r="P61" s="34"/>
      <c r="Q61" s="34"/>
      <c r="R61" s="34"/>
      <c r="S61" s="34"/>
      <c r="T61" s="35">
        <f>95717.95</f>
        <v>95717.95</v>
      </c>
      <c r="U61" s="35"/>
    </row>
    <row r="62" spans="1:21" s="1" customFormat="1" ht="13.5" customHeight="1">
      <c r="A62" s="31" t="s">
        <v>102</v>
      </c>
      <c r="B62" s="31"/>
      <c r="C62" s="31"/>
      <c r="D62" s="31"/>
      <c r="E62" s="31"/>
      <c r="F62" s="31"/>
      <c r="G62" s="32" t="s">
        <v>101</v>
      </c>
      <c r="H62" s="32"/>
      <c r="I62" s="32" t="s">
        <v>127</v>
      </c>
      <c r="J62" s="32"/>
      <c r="K62" s="33" t="s">
        <v>104</v>
      </c>
      <c r="L62" s="33"/>
      <c r="M62" s="34">
        <f>176250</f>
        <v>176250</v>
      </c>
      <c r="N62" s="34"/>
      <c r="O62" s="34">
        <f>176250</f>
        <v>176250</v>
      </c>
      <c r="P62" s="34"/>
      <c r="Q62" s="34"/>
      <c r="R62" s="34"/>
      <c r="S62" s="34"/>
      <c r="T62" s="35">
        <f>0</f>
        <v>0</v>
      </c>
      <c r="U62" s="35"/>
    </row>
    <row r="63" spans="1:21" s="1" customFormat="1" ht="13.5" customHeight="1">
      <c r="A63" s="31" t="s">
        <v>105</v>
      </c>
      <c r="B63" s="31"/>
      <c r="C63" s="31"/>
      <c r="D63" s="31"/>
      <c r="E63" s="31"/>
      <c r="F63" s="31"/>
      <c r="G63" s="32" t="s">
        <v>101</v>
      </c>
      <c r="H63" s="32"/>
      <c r="I63" s="32" t="s">
        <v>128</v>
      </c>
      <c r="J63" s="32"/>
      <c r="K63" s="33" t="s">
        <v>107</v>
      </c>
      <c r="L63" s="33"/>
      <c r="M63" s="34">
        <f>52702.75</f>
        <v>52702.75</v>
      </c>
      <c r="N63" s="34"/>
      <c r="O63" s="34">
        <f>52702.75</f>
        <v>52702.75</v>
      </c>
      <c r="P63" s="34"/>
      <c r="Q63" s="34"/>
      <c r="R63" s="34"/>
      <c r="S63" s="34"/>
      <c r="T63" s="35">
        <f>0</f>
        <v>0</v>
      </c>
      <c r="U63" s="35"/>
    </row>
    <row r="64" spans="1:21" s="1" customFormat="1" ht="13.5" customHeight="1">
      <c r="A64" s="31" t="s">
        <v>102</v>
      </c>
      <c r="B64" s="31"/>
      <c r="C64" s="31"/>
      <c r="D64" s="31"/>
      <c r="E64" s="31"/>
      <c r="F64" s="31"/>
      <c r="G64" s="32" t="s">
        <v>101</v>
      </c>
      <c r="H64" s="32"/>
      <c r="I64" s="32" t="s">
        <v>129</v>
      </c>
      <c r="J64" s="32"/>
      <c r="K64" s="33" t="s">
        <v>104</v>
      </c>
      <c r="L64" s="33"/>
      <c r="M64" s="34">
        <f>82250</f>
        <v>82250</v>
      </c>
      <c r="N64" s="34"/>
      <c r="O64" s="34">
        <f>82250</f>
        <v>82250</v>
      </c>
      <c r="P64" s="34"/>
      <c r="Q64" s="34"/>
      <c r="R64" s="34"/>
      <c r="S64" s="34"/>
      <c r="T64" s="35">
        <f>0</f>
        <v>0</v>
      </c>
      <c r="U64" s="35"/>
    </row>
    <row r="65" spans="1:21" s="1" customFormat="1" ht="13.5" customHeight="1">
      <c r="A65" s="31" t="s">
        <v>105</v>
      </c>
      <c r="B65" s="31"/>
      <c r="C65" s="31"/>
      <c r="D65" s="31"/>
      <c r="E65" s="31"/>
      <c r="F65" s="31"/>
      <c r="G65" s="32" t="s">
        <v>101</v>
      </c>
      <c r="H65" s="32"/>
      <c r="I65" s="32" t="s">
        <v>130</v>
      </c>
      <c r="J65" s="32"/>
      <c r="K65" s="33" t="s">
        <v>107</v>
      </c>
      <c r="L65" s="33"/>
      <c r="M65" s="34">
        <f>24839.5</f>
        <v>24839.5</v>
      </c>
      <c r="N65" s="34"/>
      <c r="O65" s="34">
        <f>24839.5</f>
        <v>24839.5</v>
      </c>
      <c r="P65" s="34"/>
      <c r="Q65" s="34"/>
      <c r="R65" s="34"/>
      <c r="S65" s="34"/>
      <c r="T65" s="35">
        <f>0</f>
        <v>0</v>
      </c>
      <c r="U65" s="35"/>
    </row>
    <row r="66" spans="1:21" s="1" customFormat="1" ht="13.5" customHeight="1">
      <c r="A66" s="31" t="s">
        <v>131</v>
      </c>
      <c r="B66" s="31"/>
      <c r="C66" s="31"/>
      <c r="D66" s="31"/>
      <c r="E66" s="31"/>
      <c r="F66" s="31"/>
      <c r="G66" s="32" t="s">
        <v>101</v>
      </c>
      <c r="H66" s="32"/>
      <c r="I66" s="32" t="s">
        <v>132</v>
      </c>
      <c r="J66" s="32"/>
      <c r="K66" s="33" t="s">
        <v>133</v>
      </c>
      <c r="L66" s="33"/>
      <c r="M66" s="34">
        <f>52481</f>
        <v>52481</v>
      </c>
      <c r="N66" s="34"/>
      <c r="O66" s="34">
        <f>52481</f>
        <v>52481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131</v>
      </c>
      <c r="B67" s="31"/>
      <c r="C67" s="31"/>
      <c r="D67" s="31"/>
      <c r="E67" s="31"/>
      <c r="F67" s="31"/>
      <c r="G67" s="32" t="s">
        <v>101</v>
      </c>
      <c r="H67" s="32"/>
      <c r="I67" s="32" t="s">
        <v>134</v>
      </c>
      <c r="J67" s="32"/>
      <c r="K67" s="33" t="s">
        <v>133</v>
      </c>
      <c r="L67" s="33"/>
      <c r="M67" s="34">
        <f>0</f>
        <v>0</v>
      </c>
      <c r="N67" s="34"/>
      <c r="O67" s="36" t="s">
        <v>41</v>
      </c>
      <c r="P67" s="36"/>
      <c r="Q67" s="36"/>
      <c r="R67" s="36"/>
      <c r="S67" s="36"/>
      <c r="T67" s="37" t="s">
        <v>41</v>
      </c>
      <c r="U67" s="37"/>
    </row>
    <row r="68" spans="1:21" s="1" customFormat="1" ht="13.5" customHeight="1">
      <c r="A68" s="31" t="s">
        <v>135</v>
      </c>
      <c r="B68" s="31"/>
      <c r="C68" s="31"/>
      <c r="D68" s="31"/>
      <c r="E68" s="31"/>
      <c r="F68" s="31"/>
      <c r="G68" s="32" t="s">
        <v>101</v>
      </c>
      <c r="H68" s="32"/>
      <c r="I68" s="32" t="s">
        <v>136</v>
      </c>
      <c r="J68" s="32"/>
      <c r="K68" s="33" t="s">
        <v>137</v>
      </c>
      <c r="L68" s="33"/>
      <c r="M68" s="34">
        <f>100000</f>
        <v>100000</v>
      </c>
      <c r="N68" s="34"/>
      <c r="O68" s="34">
        <f>82860.24</f>
        <v>82860.24</v>
      </c>
      <c r="P68" s="34"/>
      <c r="Q68" s="34"/>
      <c r="R68" s="34"/>
      <c r="S68" s="34"/>
      <c r="T68" s="35">
        <f>17139.76</f>
        <v>17139.76</v>
      </c>
      <c r="U68" s="35"/>
    </row>
    <row r="69" spans="1:21" s="1" customFormat="1" ht="13.5" customHeight="1">
      <c r="A69" s="31" t="s">
        <v>138</v>
      </c>
      <c r="B69" s="31"/>
      <c r="C69" s="31"/>
      <c r="D69" s="31"/>
      <c r="E69" s="31"/>
      <c r="F69" s="31"/>
      <c r="G69" s="32" t="s">
        <v>101</v>
      </c>
      <c r="H69" s="32"/>
      <c r="I69" s="32" t="s">
        <v>136</v>
      </c>
      <c r="J69" s="32"/>
      <c r="K69" s="33" t="s">
        <v>139</v>
      </c>
      <c r="L69" s="33"/>
      <c r="M69" s="34">
        <f>77000</f>
        <v>77000</v>
      </c>
      <c r="N69" s="34"/>
      <c r="O69" s="34">
        <f>41092.69</f>
        <v>41092.69</v>
      </c>
      <c r="P69" s="34"/>
      <c r="Q69" s="34"/>
      <c r="R69" s="34"/>
      <c r="S69" s="34"/>
      <c r="T69" s="35">
        <f>35907.31</f>
        <v>35907.31</v>
      </c>
      <c r="U69" s="35"/>
    </row>
    <row r="70" spans="1:21" s="1" customFormat="1" ht="13.5" customHeight="1">
      <c r="A70" s="31" t="s">
        <v>140</v>
      </c>
      <c r="B70" s="31"/>
      <c r="C70" s="31"/>
      <c r="D70" s="31"/>
      <c r="E70" s="31"/>
      <c r="F70" s="31"/>
      <c r="G70" s="32" t="s">
        <v>101</v>
      </c>
      <c r="H70" s="32"/>
      <c r="I70" s="32" t="s">
        <v>136</v>
      </c>
      <c r="J70" s="32"/>
      <c r="K70" s="33" t="s">
        <v>141</v>
      </c>
      <c r="L70" s="33"/>
      <c r="M70" s="34">
        <f>698229.11</f>
        <v>698229.11</v>
      </c>
      <c r="N70" s="34"/>
      <c r="O70" s="34">
        <f>250331.3</f>
        <v>250331.3</v>
      </c>
      <c r="P70" s="34"/>
      <c r="Q70" s="34"/>
      <c r="R70" s="34"/>
      <c r="S70" s="34"/>
      <c r="T70" s="35">
        <f>447897.81</f>
        <v>447897.81</v>
      </c>
      <c r="U70" s="35"/>
    </row>
    <row r="71" spans="1:21" s="1" customFormat="1" ht="13.5" customHeight="1">
      <c r="A71" s="31" t="s">
        <v>123</v>
      </c>
      <c r="B71" s="31"/>
      <c r="C71" s="31"/>
      <c r="D71" s="31"/>
      <c r="E71" s="31"/>
      <c r="F71" s="31"/>
      <c r="G71" s="32" t="s">
        <v>101</v>
      </c>
      <c r="H71" s="32"/>
      <c r="I71" s="32" t="s">
        <v>136</v>
      </c>
      <c r="J71" s="32"/>
      <c r="K71" s="33" t="s">
        <v>124</v>
      </c>
      <c r="L71" s="33"/>
      <c r="M71" s="34">
        <f>825942.69</f>
        <v>825942.69</v>
      </c>
      <c r="N71" s="34"/>
      <c r="O71" s="34">
        <f>728780.81</f>
        <v>728780.81</v>
      </c>
      <c r="P71" s="34"/>
      <c r="Q71" s="34"/>
      <c r="R71" s="34"/>
      <c r="S71" s="34"/>
      <c r="T71" s="35">
        <f>97161.88</f>
        <v>97161.88</v>
      </c>
      <c r="U71" s="35"/>
    </row>
    <row r="72" spans="1:21" s="1" customFormat="1" ht="13.5" customHeight="1">
      <c r="A72" s="31" t="s">
        <v>142</v>
      </c>
      <c r="B72" s="31"/>
      <c r="C72" s="31"/>
      <c r="D72" s="31"/>
      <c r="E72" s="31"/>
      <c r="F72" s="31"/>
      <c r="G72" s="32" t="s">
        <v>101</v>
      </c>
      <c r="H72" s="32"/>
      <c r="I72" s="32" t="s">
        <v>136</v>
      </c>
      <c r="J72" s="32"/>
      <c r="K72" s="33" t="s">
        <v>143</v>
      </c>
      <c r="L72" s="33"/>
      <c r="M72" s="34">
        <f>8000</f>
        <v>8000</v>
      </c>
      <c r="N72" s="34"/>
      <c r="O72" s="34">
        <f>3564.17</f>
        <v>3564.17</v>
      </c>
      <c r="P72" s="34"/>
      <c r="Q72" s="34"/>
      <c r="R72" s="34"/>
      <c r="S72" s="34"/>
      <c r="T72" s="35">
        <f>4435.83</f>
        <v>4435.83</v>
      </c>
      <c r="U72" s="35"/>
    </row>
    <row r="73" spans="1:21" s="1" customFormat="1" ht="13.5" customHeight="1">
      <c r="A73" s="31" t="s">
        <v>144</v>
      </c>
      <c r="B73" s="31"/>
      <c r="C73" s="31"/>
      <c r="D73" s="31"/>
      <c r="E73" s="31"/>
      <c r="F73" s="31"/>
      <c r="G73" s="32" t="s">
        <v>101</v>
      </c>
      <c r="H73" s="32"/>
      <c r="I73" s="32" t="s">
        <v>136</v>
      </c>
      <c r="J73" s="32"/>
      <c r="K73" s="33" t="s">
        <v>145</v>
      </c>
      <c r="L73" s="33"/>
      <c r="M73" s="34">
        <f>550000</f>
        <v>550000</v>
      </c>
      <c r="N73" s="34"/>
      <c r="O73" s="34">
        <f>415855.39</f>
        <v>415855.39</v>
      </c>
      <c r="P73" s="34"/>
      <c r="Q73" s="34"/>
      <c r="R73" s="34"/>
      <c r="S73" s="34"/>
      <c r="T73" s="35">
        <f>134144.61</f>
        <v>134144.61</v>
      </c>
      <c r="U73" s="35"/>
    </row>
    <row r="74" spans="1:21" s="1" customFormat="1" ht="13.5" customHeight="1">
      <c r="A74" s="31" t="s">
        <v>146</v>
      </c>
      <c r="B74" s="31"/>
      <c r="C74" s="31"/>
      <c r="D74" s="31"/>
      <c r="E74" s="31"/>
      <c r="F74" s="31"/>
      <c r="G74" s="32" t="s">
        <v>101</v>
      </c>
      <c r="H74" s="32"/>
      <c r="I74" s="32" t="s">
        <v>136</v>
      </c>
      <c r="J74" s="32"/>
      <c r="K74" s="33" t="s">
        <v>147</v>
      </c>
      <c r="L74" s="33"/>
      <c r="M74" s="34">
        <f>6900</f>
        <v>6900</v>
      </c>
      <c r="N74" s="34"/>
      <c r="O74" s="34">
        <f>6900</f>
        <v>6900</v>
      </c>
      <c r="P74" s="34"/>
      <c r="Q74" s="34"/>
      <c r="R74" s="34"/>
      <c r="S74" s="34"/>
      <c r="T74" s="35">
        <f>0</f>
        <v>0</v>
      </c>
      <c r="U74" s="35"/>
    </row>
    <row r="75" spans="1:21" s="1" customFormat="1" ht="13.5" customHeight="1">
      <c r="A75" s="31" t="s">
        <v>148</v>
      </c>
      <c r="B75" s="31"/>
      <c r="C75" s="31"/>
      <c r="D75" s="31"/>
      <c r="E75" s="31"/>
      <c r="F75" s="31"/>
      <c r="G75" s="32" t="s">
        <v>101</v>
      </c>
      <c r="H75" s="32"/>
      <c r="I75" s="32" t="s">
        <v>136</v>
      </c>
      <c r="J75" s="32"/>
      <c r="K75" s="33" t="s">
        <v>149</v>
      </c>
      <c r="L75" s="33"/>
      <c r="M75" s="34">
        <f>220000</f>
        <v>220000</v>
      </c>
      <c r="N75" s="34"/>
      <c r="O75" s="34">
        <f>188343.6</f>
        <v>188343.6</v>
      </c>
      <c r="P75" s="34"/>
      <c r="Q75" s="34"/>
      <c r="R75" s="34"/>
      <c r="S75" s="34"/>
      <c r="T75" s="35">
        <f>31656.4</f>
        <v>31656.4</v>
      </c>
      <c r="U75" s="35"/>
    </row>
    <row r="76" spans="1:21" s="1" customFormat="1" ht="13.5" customHeight="1">
      <c r="A76" s="31" t="s">
        <v>138</v>
      </c>
      <c r="B76" s="31"/>
      <c r="C76" s="31"/>
      <c r="D76" s="31"/>
      <c r="E76" s="31"/>
      <c r="F76" s="31"/>
      <c r="G76" s="32" t="s">
        <v>101</v>
      </c>
      <c r="H76" s="32"/>
      <c r="I76" s="32" t="s">
        <v>150</v>
      </c>
      <c r="J76" s="32"/>
      <c r="K76" s="33" t="s">
        <v>139</v>
      </c>
      <c r="L76" s="33"/>
      <c r="M76" s="34">
        <f>681936.15</f>
        <v>681936.15</v>
      </c>
      <c r="N76" s="34"/>
      <c r="O76" s="34">
        <f>454132</f>
        <v>454132</v>
      </c>
      <c r="P76" s="34"/>
      <c r="Q76" s="34"/>
      <c r="R76" s="34"/>
      <c r="S76" s="34"/>
      <c r="T76" s="35">
        <f>227804.15</f>
        <v>227804.15</v>
      </c>
      <c r="U76" s="35"/>
    </row>
    <row r="77" spans="1:21" s="1" customFormat="1" ht="13.5" customHeight="1">
      <c r="A77" s="31" t="s">
        <v>151</v>
      </c>
      <c r="B77" s="31"/>
      <c r="C77" s="31"/>
      <c r="D77" s="31"/>
      <c r="E77" s="31"/>
      <c r="F77" s="31"/>
      <c r="G77" s="32" t="s">
        <v>101</v>
      </c>
      <c r="H77" s="32"/>
      <c r="I77" s="32" t="s">
        <v>152</v>
      </c>
      <c r="J77" s="32"/>
      <c r="K77" s="33" t="s">
        <v>153</v>
      </c>
      <c r="L77" s="33"/>
      <c r="M77" s="34">
        <f>80000</f>
        <v>80000</v>
      </c>
      <c r="N77" s="34"/>
      <c r="O77" s="34">
        <f>49371</f>
        <v>49371</v>
      </c>
      <c r="P77" s="34"/>
      <c r="Q77" s="34"/>
      <c r="R77" s="34"/>
      <c r="S77" s="34"/>
      <c r="T77" s="35">
        <f>30629</f>
        <v>30629</v>
      </c>
      <c r="U77" s="35"/>
    </row>
    <row r="78" spans="1:21" s="1" customFormat="1" ht="13.5" customHeight="1">
      <c r="A78" s="31" t="s">
        <v>151</v>
      </c>
      <c r="B78" s="31"/>
      <c r="C78" s="31"/>
      <c r="D78" s="31"/>
      <c r="E78" s="31"/>
      <c r="F78" s="31"/>
      <c r="G78" s="32" t="s">
        <v>101</v>
      </c>
      <c r="H78" s="32"/>
      <c r="I78" s="32" t="s">
        <v>154</v>
      </c>
      <c r="J78" s="32"/>
      <c r="K78" s="33" t="s">
        <v>153</v>
      </c>
      <c r="L78" s="33"/>
      <c r="M78" s="34">
        <f>15000</f>
        <v>15000</v>
      </c>
      <c r="N78" s="34"/>
      <c r="O78" s="34">
        <f>8220</f>
        <v>8220</v>
      </c>
      <c r="P78" s="34"/>
      <c r="Q78" s="34"/>
      <c r="R78" s="34"/>
      <c r="S78" s="34"/>
      <c r="T78" s="35">
        <f>6780</f>
        <v>6780</v>
      </c>
      <c r="U78" s="35"/>
    </row>
    <row r="79" spans="1:21" s="1" customFormat="1" ht="13.5" customHeight="1">
      <c r="A79" s="31" t="s">
        <v>151</v>
      </c>
      <c r="B79" s="31"/>
      <c r="C79" s="31"/>
      <c r="D79" s="31"/>
      <c r="E79" s="31"/>
      <c r="F79" s="31"/>
      <c r="G79" s="32" t="s">
        <v>101</v>
      </c>
      <c r="H79" s="32"/>
      <c r="I79" s="32" t="s">
        <v>155</v>
      </c>
      <c r="J79" s="32"/>
      <c r="K79" s="33" t="s">
        <v>153</v>
      </c>
      <c r="L79" s="33"/>
      <c r="M79" s="34">
        <f>0</f>
        <v>0</v>
      </c>
      <c r="N79" s="34"/>
      <c r="O79" s="34">
        <f>0</f>
        <v>0</v>
      </c>
      <c r="P79" s="34"/>
      <c r="Q79" s="34"/>
      <c r="R79" s="34"/>
      <c r="S79" s="34"/>
      <c r="T79" s="37" t="s">
        <v>41</v>
      </c>
      <c r="U79" s="37"/>
    </row>
    <row r="80" spans="1:21" s="1" customFormat="1" ht="13.5" customHeight="1">
      <c r="A80" s="31" t="s">
        <v>156</v>
      </c>
      <c r="B80" s="31"/>
      <c r="C80" s="31"/>
      <c r="D80" s="31"/>
      <c r="E80" s="31"/>
      <c r="F80" s="31"/>
      <c r="G80" s="32" t="s">
        <v>101</v>
      </c>
      <c r="H80" s="32"/>
      <c r="I80" s="32" t="s">
        <v>155</v>
      </c>
      <c r="J80" s="32"/>
      <c r="K80" s="33" t="s">
        <v>157</v>
      </c>
      <c r="L80" s="33"/>
      <c r="M80" s="34">
        <f>15000</f>
        <v>15000</v>
      </c>
      <c r="N80" s="34"/>
      <c r="O80" s="34">
        <f>15000</f>
        <v>15000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123</v>
      </c>
      <c r="B81" s="31"/>
      <c r="C81" s="31"/>
      <c r="D81" s="31"/>
      <c r="E81" s="31"/>
      <c r="F81" s="31"/>
      <c r="G81" s="32" t="s">
        <v>101</v>
      </c>
      <c r="H81" s="32"/>
      <c r="I81" s="32" t="s">
        <v>158</v>
      </c>
      <c r="J81" s="32"/>
      <c r="K81" s="33" t="s">
        <v>124</v>
      </c>
      <c r="L81" s="33"/>
      <c r="M81" s="34">
        <f>170000</f>
        <v>170000</v>
      </c>
      <c r="N81" s="34"/>
      <c r="O81" s="36" t="s">
        <v>41</v>
      </c>
      <c r="P81" s="36"/>
      <c r="Q81" s="36"/>
      <c r="R81" s="36"/>
      <c r="S81" s="36"/>
      <c r="T81" s="35">
        <f>170000</f>
        <v>170000</v>
      </c>
      <c r="U81" s="35"/>
    </row>
    <row r="82" spans="1:21" s="1" customFormat="1" ht="13.5" customHeight="1">
      <c r="A82" s="31" t="s">
        <v>140</v>
      </c>
      <c r="B82" s="31"/>
      <c r="C82" s="31"/>
      <c r="D82" s="31"/>
      <c r="E82" s="31"/>
      <c r="F82" s="31"/>
      <c r="G82" s="32" t="s">
        <v>101</v>
      </c>
      <c r="H82" s="32"/>
      <c r="I82" s="32" t="s">
        <v>159</v>
      </c>
      <c r="J82" s="32"/>
      <c r="K82" s="33" t="s">
        <v>141</v>
      </c>
      <c r="L82" s="33"/>
      <c r="M82" s="34">
        <f>150000</f>
        <v>150000</v>
      </c>
      <c r="N82" s="34"/>
      <c r="O82" s="34">
        <f>97522.34</f>
        <v>97522.34</v>
      </c>
      <c r="P82" s="34"/>
      <c r="Q82" s="34"/>
      <c r="R82" s="34"/>
      <c r="S82" s="34"/>
      <c r="T82" s="35">
        <f>52477.66</f>
        <v>52477.66</v>
      </c>
      <c r="U82" s="35"/>
    </row>
    <row r="83" spans="1:21" s="1" customFormat="1" ht="13.5" customHeight="1">
      <c r="A83" s="31" t="s">
        <v>138</v>
      </c>
      <c r="B83" s="31"/>
      <c r="C83" s="31"/>
      <c r="D83" s="31"/>
      <c r="E83" s="31"/>
      <c r="F83" s="31"/>
      <c r="G83" s="32" t="s">
        <v>101</v>
      </c>
      <c r="H83" s="32"/>
      <c r="I83" s="32" t="s">
        <v>160</v>
      </c>
      <c r="J83" s="32"/>
      <c r="K83" s="33" t="s">
        <v>139</v>
      </c>
      <c r="L83" s="33"/>
      <c r="M83" s="34">
        <f>100000</f>
        <v>100000</v>
      </c>
      <c r="N83" s="34"/>
      <c r="O83" s="36" t="s">
        <v>41</v>
      </c>
      <c r="P83" s="36"/>
      <c r="Q83" s="36"/>
      <c r="R83" s="36"/>
      <c r="S83" s="36"/>
      <c r="T83" s="35">
        <f>100000</f>
        <v>100000</v>
      </c>
      <c r="U83" s="35"/>
    </row>
    <row r="84" spans="1:21" s="1" customFormat="1" ht="13.5" customHeight="1">
      <c r="A84" s="31" t="s">
        <v>102</v>
      </c>
      <c r="B84" s="31"/>
      <c r="C84" s="31"/>
      <c r="D84" s="31"/>
      <c r="E84" s="31"/>
      <c r="F84" s="31"/>
      <c r="G84" s="32" t="s">
        <v>101</v>
      </c>
      <c r="H84" s="32"/>
      <c r="I84" s="32" t="s">
        <v>161</v>
      </c>
      <c r="J84" s="32"/>
      <c r="K84" s="33" t="s">
        <v>104</v>
      </c>
      <c r="L84" s="33"/>
      <c r="M84" s="34">
        <f>403261.52</f>
        <v>403261.52</v>
      </c>
      <c r="N84" s="34"/>
      <c r="O84" s="34">
        <f>351042.42</f>
        <v>351042.42</v>
      </c>
      <c r="P84" s="34"/>
      <c r="Q84" s="34"/>
      <c r="R84" s="34"/>
      <c r="S84" s="34"/>
      <c r="T84" s="35">
        <f>52219.1</f>
        <v>52219.1</v>
      </c>
      <c r="U84" s="35"/>
    </row>
    <row r="85" spans="1:21" s="1" customFormat="1" ht="13.5" customHeight="1">
      <c r="A85" s="31" t="s">
        <v>111</v>
      </c>
      <c r="B85" s="31"/>
      <c r="C85" s="31"/>
      <c r="D85" s="31"/>
      <c r="E85" s="31"/>
      <c r="F85" s="31"/>
      <c r="G85" s="32" t="s">
        <v>101</v>
      </c>
      <c r="H85" s="32"/>
      <c r="I85" s="32" t="s">
        <v>161</v>
      </c>
      <c r="J85" s="32"/>
      <c r="K85" s="33" t="s">
        <v>112</v>
      </c>
      <c r="L85" s="33"/>
      <c r="M85" s="34">
        <f>2737.92</f>
        <v>2737.92</v>
      </c>
      <c r="N85" s="34"/>
      <c r="O85" s="34">
        <f>2737.92</f>
        <v>2737.92</v>
      </c>
      <c r="P85" s="34"/>
      <c r="Q85" s="34"/>
      <c r="R85" s="34"/>
      <c r="S85" s="34"/>
      <c r="T85" s="35">
        <f>0</f>
        <v>0</v>
      </c>
      <c r="U85" s="35"/>
    </row>
    <row r="86" spans="1:21" s="1" customFormat="1" ht="13.5" customHeight="1">
      <c r="A86" s="31" t="s">
        <v>105</v>
      </c>
      <c r="B86" s="31"/>
      <c r="C86" s="31"/>
      <c r="D86" s="31"/>
      <c r="E86" s="31"/>
      <c r="F86" s="31"/>
      <c r="G86" s="32" t="s">
        <v>101</v>
      </c>
      <c r="H86" s="32"/>
      <c r="I86" s="32" t="s">
        <v>162</v>
      </c>
      <c r="J86" s="32"/>
      <c r="K86" s="33" t="s">
        <v>107</v>
      </c>
      <c r="L86" s="33"/>
      <c r="M86" s="34">
        <f>122650</f>
        <v>122650</v>
      </c>
      <c r="N86" s="34"/>
      <c r="O86" s="34">
        <f>102632.28</f>
        <v>102632.28</v>
      </c>
      <c r="P86" s="34"/>
      <c r="Q86" s="34"/>
      <c r="R86" s="34"/>
      <c r="S86" s="34"/>
      <c r="T86" s="35">
        <f>20017.72</f>
        <v>20017.72</v>
      </c>
      <c r="U86" s="35"/>
    </row>
    <row r="87" spans="1:21" s="1" customFormat="1" ht="13.5" customHeight="1">
      <c r="A87" s="31" t="s">
        <v>102</v>
      </c>
      <c r="B87" s="31"/>
      <c r="C87" s="31"/>
      <c r="D87" s="31"/>
      <c r="E87" s="31"/>
      <c r="F87" s="31"/>
      <c r="G87" s="32" t="s">
        <v>101</v>
      </c>
      <c r="H87" s="32"/>
      <c r="I87" s="32" t="s">
        <v>163</v>
      </c>
      <c r="J87" s="32"/>
      <c r="K87" s="33" t="s">
        <v>104</v>
      </c>
      <c r="L87" s="33"/>
      <c r="M87" s="34">
        <f>91000</f>
        <v>91000</v>
      </c>
      <c r="N87" s="34"/>
      <c r="O87" s="34">
        <f>76268.7</f>
        <v>76268.7</v>
      </c>
      <c r="P87" s="34"/>
      <c r="Q87" s="34"/>
      <c r="R87" s="34"/>
      <c r="S87" s="34"/>
      <c r="T87" s="35">
        <f>14731.3</f>
        <v>14731.3</v>
      </c>
      <c r="U87" s="35"/>
    </row>
    <row r="88" spans="1:21" s="1" customFormat="1" ht="13.5" customHeight="1">
      <c r="A88" s="31" t="s">
        <v>105</v>
      </c>
      <c r="B88" s="31"/>
      <c r="C88" s="31"/>
      <c r="D88" s="31"/>
      <c r="E88" s="31"/>
      <c r="F88" s="31"/>
      <c r="G88" s="32" t="s">
        <v>101</v>
      </c>
      <c r="H88" s="32"/>
      <c r="I88" s="32" t="s">
        <v>164</v>
      </c>
      <c r="J88" s="32"/>
      <c r="K88" s="33" t="s">
        <v>107</v>
      </c>
      <c r="L88" s="33"/>
      <c r="M88" s="34">
        <f>27500</f>
        <v>27500</v>
      </c>
      <c r="N88" s="34"/>
      <c r="O88" s="34">
        <f>21126.67</f>
        <v>21126.67</v>
      </c>
      <c r="P88" s="34"/>
      <c r="Q88" s="34"/>
      <c r="R88" s="34"/>
      <c r="S88" s="34"/>
      <c r="T88" s="35">
        <f>6373.33</f>
        <v>6373.33</v>
      </c>
      <c r="U88" s="35"/>
    </row>
    <row r="89" spans="1:21" s="1" customFormat="1" ht="13.5" customHeight="1">
      <c r="A89" s="31" t="s">
        <v>148</v>
      </c>
      <c r="B89" s="31"/>
      <c r="C89" s="31"/>
      <c r="D89" s="31"/>
      <c r="E89" s="31"/>
      <c r="F89" s="31"/>
      <c r="G89" s="32" t="s">
        <v>101</v>
      </c>
      <c r="H89" s="32"/>
      <c r="I89" s="32" t="s">
        <v>165</v>
      </c>
      <c r="J89" s="32"/>
      <c r="K89" s="33" t="s">
        <v>149</v>
      </c>
      <c r="L89" s="33"/>
      <c r="M89" s="34">
        <f>37100</f>
        <v>37100</v>
      </c>
      <c r="N89" s="34"/>
      <c r="O89" s="34">
        <f>15940</f>
        <v>15940</v>
      </c>
      <c r="P89" s="34"/>
      <c r="Q89" s="34"/>
      <c r="R89" s="34"/>
      <c r="S89" s="34"/>
      <c r="T89" s="35">
        <f>21160</f>
        <v>21160</v>
      </c>
      <c r="U89" s="35"/>
    </row>
    <row r="90" spans="1:21" s="1" customFormat="1" ht="13.5" customHeight="1">
      <c r="A90" s="31" t="s">
        <v>123</v>
      </c>
      <c r="B90" s="31"/>
      <c r="C90" s="31"/>
      <c r="D90" s="31"/>
      <c r="E90" s="31"/>
      <c r="F90" s="31"/>
      <c r="G90" s="32" t="s">
        <v>101</v>
      </c>
      <c r="H90" s="32"/>
      <c r="I90" s="32" t="s">
        <v>166</v>
      </c>
      <c r="J90" s="32"/>
      <c r="K90" s="33" t="s">
        <v>124</v>
      </c>
      <c r="L90" s="33"/>
      <c r="M90" s="34">
        <f>17967.98</f>
        <v>17967.98</v>
      </c>
      <c r="N90" s="34"/>
      <c r="O90" s="34">
        <f>14077.4</f>
        <v>14077.4</v>
      </c>
      <c r="P90" s="34"/>
      <c r="Q90" s="34"/>
      <c r="R90" s="34"/>
      <c r="S90" s="34"/>
      <c r="T90" s="35">
        <f>3890.58</f>
        <v>3890.58</v>
      </c>
      <c r="U90" s="35"/>
    </row>
    <row r="91" spans="1:21" s="1" customFormat="1" ht="13.5" customHeight="1">
      <c r="A91" s="31" t="s">
        <v>123</v>
      </c>
      <c r="B91" s="31"/>
      <c r="C91" s="31"/>
      <c r="D91" s="31"/>
      <c r="E91" s="31"/>
      <c r="F91" s="31"/>
      <c r="G91" s="32" t="s">
        <v>101</v>
      </c>
      <c r="H91" s="32"/>
      <c r="I91" s="32" t="s">
        <v>167</v>
      </c>
      <c r="J91" s="32"/>
      <c r="K91" s="33" t="s">
        <v>124</v>
      </c>
      <c r="L91" s="33"/>
      <c r="M91" s="34">
        <f>50000</f>
        <v>50000</v>
      </c>
      <c r="N91" s="34"/>
      <c r="O91" s="34">
        <f>50000</f>
        <v>50000</v>
      </c>
      <c r="P91" s="34"/>
      <c r="Q91" s="34"/>
      <c r="R91" s="34"/>
      <c r="S91" s="34"/>
      <c r="T91" s="35">
        <f>0</f>
        <v>0</v>
      </c>
      <c r="U91" s="35"/>
    </row>
    <row r="92" spans="1:21" s="1" customFormat="1" ht="13.5" customHeight="1">
      <c r="A92" s="31" t="s">
        <v>123</v>
      </c>
      <c r="B92" s="31"/>
      <c r="C92" s="31"/>
      <c r="D92" s="31"/>
      <c r="E92" s="31"/>
      <c r="F92" s="31"/>
      <c r="G92" s="32" t="s">
        <v>101</v>
      </c>
      <c r="H92" s="32"/>
      <c r="I92" s="32" t="s">
        <v>168</v>
      </c>
      <c r="J92" s="32"/>
      <c r="K92" s="33" t="s">
        <v>124</v>
      </c>
      <c r="L92" s="33"/>
      <c r="M92" s="34">
        <f>100000</f>
        <v>100000</v>
      </c>
      <c r="N92" s="34"/>
      <c r="O92" s="36" t="s">
        <v>41</v>
      </c>
      <c r="P92" s="36"/>
      <c r="Q92" s="36"/>
      <c r="R92" s="36"/>
      <c r="S92" s="36"/>
      <c r="T92" s="35">
        <f>100000</f>
        <v>100000</v>
      </c>
      <c r="U92" s="35"/>
    </row>
    <row r="93" spans="1:21" s="1" customFormat="1" ht="13.5" customHeight="1">
      <c r="A93" s="31" t="s">
        <v>123</v>
      </c>
      <c r="B93" s="31"/>
      <c r="C93" s="31"/>
      <c r="D93" s="31"/>
      <c r="E93" s="31"/>
      <c r="F93" s="31"/>
      <c r="G93" s="32" t="s">
        <v>101</v>
      </c>
      <c r="H93" s="32"/>
      <c r="I93" s="32" t="s">
        <v>169</v>
      </c>
      <c r="J93" s="32"/>
      <c r="K93" s="33" t="s">
        <v>124</v>
      </c>
      <c r="L93" s="33"/>
      <c r="M93" s="34">
        <f>11525</f>
        <v>11525</v>
      </c>
      <c r="N93" s="34"/>
      <c r="O93" s="36" t="s">
        <v>41</v>
      </c>
      <c r="P93" s="36"/>
      <c r="Q93" s="36"/>
      <c r="R93" s="36"/>
      <c r="S93" s="36"/>
      <c r="T93" s="35">
        <f>11525</f>
        <v>11525</v>
      </c>
      <c r="U93" s="35"/>
    </row>
    <row r="94" spans="1:21" s="1" customFormat="1" ht="13.5" customHeight="1">
      <c r="A94" s="31" t="s">
        <v>123</v>
      </c>
      <c r="B94" s="31"/>
      <c r="C94" s="31"/>
      <c r="D94" s="31"/>
      <c r="E94" s="31"/>
      <c r="F94" s="31"/>
      <c r="G94" s="32" t="s">
        <v>101</v>
      </c>
      <c r="H94" s="32"/>
      <c r="I94" s="32" t="s">
        <v>170</v>
      </c>
      <c r="J94" s="32"/>
      <c r="K94" s="33" t="s">
        <v>124</v>
      </c>
      <c r="L94" s="33"/>
      <c r="M94" s="34">
        <f>11525</f>
        <v>11525</v>
      </c>
      <c r="N94" s="34"/>
      <c r="O94" s="36" t="s">
        <v>41</v>
      </c>
      <c r="P94" s="36"/>
      <c r="Q94" s="36"/>
      <c r="R94" s="36"/>
      <c r="S94" s="36"/>
      <c r="T94" s="35">
        <f>11525</f>
        <v>11525</v>
      </c>
      <c r="U94" s="35"/>
    </row>
    <row r="95" spans="1:21" s="1" customFormat="1" ht="13.5" customHeight="1">
      <c r="A95" s="31" t="s">
        <v>123</v>
      </c>
      <c r="B95" s="31"/>
      <c r="C95" s="31"/>
      <c r="D95" s="31"/>
      <c r="E95" s="31"/>
      <c r="F95" s="31"/>
      <c r="G95" s="32" t="s">
        <v>101</v>
      </c>
      <c r="H95" s="32"/>
      <c r="I95" s="32" t="s">
        <v>171</v>
      </c>
      <c r="J95" s="32"/>
      <c r="K95" s="33" t="s">
        <v>124</v>
      </c>
      <c r="L95" s="33"/>
      <c r="M95" s="34">
        <f>0</f>
        <v>0</v>
      </c>
      <c r="N95" s="34"/>
      <c r="O95" s="36" t="s">
        <v>41</v>
      </c>
      <c r="P95" s="36"/>
      <c r="Q95" s="36"/>
      <c r="R95" s="36"/>
      <c r="S95" s="36"/>
      <c r="T95" s="37" t="s">
        <v>41</v>
      </c>
      <c r="U95" s="37"/>
    </row>
    <row r="96" spans="1:21" s="1" customFormat="1" ht="13.5" customHeight="1">
      <c r="A96" s="31" t="s">
        <v>123</v>
      </c>
      <c r="B96" s="31"/>
      <c r="C96" s="31"/>
      <c r="D96" s="31"/>
      <c r="E96" s="31"/>
      <c r="F96" s="31"/>
      <c r="G96" s="32" t="s">
        <v>101</v>
      </c>
      <c r="H96" s="32"/>
      <c r="I96" s="32" t="s">
        <v>172</v>
      </c>
      <c r="J96" s="32"/>
      <c r="K96" s="33" t="s">
        <v>124</v>
      </c>
      <c r="L96" s="33"/>
      <c r="M96" s="34">
        <f>0</f>
        <v>0</v>
      </c>
      <c r="N96" s="34"/>
      <c r="O96" s="36" t="s">
        <v>41</v>
      </c>
      <c r="P96" s="36"/>
      <c r="Q96" s="36"/>
      <c r="R96" s="36"/>
      <c r="S96" s="36"/>
      <c r="T96" s="37" t="s">
        <v>41</v>
      </c>
      <c r="U96" s="37"/>
    </row>
    <row r="97" spans="1:21" s="1" customFormat="1" ht="24" customHeight="1">
      <c r="A97" s="31" t="s">
        <v>173</v>
      </c>
      <c r="B97" s="31"/>
      <c r="C97" s="31"/>
      <c r="D97" s="31"/>
      <c r="E97" s="31"/>
      <c r="F97" s="31"/>
      <c r="G97" s="32" t="s">
        <v>101</v>
      </c>
      <c r="H97" s="32"/>
      <c r="I97" s="32" t="s">
        <v>174</v>
      </c>
      <c r="J97" s="32"/>
      <c r="K97" s="33" t="s">
        <v>175</v>
      </c>
      <c r="L97" s="33"/>
      <c r="M97" s="34">
        <f>882207.79</f>
        <v>882207.79</v>
      </c>
      <c r="N97" s="34"/>
      <c r="O97" s="34">
        <f>882207.79</f>
        <v>882207.79</v>
      </c>
      <c r="P97" s="34"/>
      <c r="Q97" s="34"/>
      <c r="R97" s="34"/>
      <c r="S97" s="34"/>
      <c r="T97" s="35">
        <f>0</f>
        <v>0</v>
      </c>
      <c r="U97" s="35"/>
    </row>
    <row r="98" spans="1:21" s="1" customFormat="1" ht="13.5" customHeight="1">
      <c r="A98" s="31" t="s">
        <v>123</v>
      </c>
      <c r="B98" s="31"/>
      <c r="C98" s="31"/>
      <c r="D98" s="31"/>
      <c r="E98" s="31"/>
      <c r="F98" s="31"/>
      <c r="G98" s="32" t="s">
        <v>101</v>
      </c>
      <c r="H98" s="32"/>
      <c r="I98" s="32" t="s">
        <v>176</v>
      </c>
      <c r="J98" s="32"/>
      <c r="K98" s="33" t="s">
        <v>124</v>
      </c>
      <c r="L98" s="33"/>
      <c r="M98" s="34">
        <f>961153</f>
        <v>961153</v>
      </c>
      <c r="N98" s="34"/>
      <c r="O98" s="34">
        <f>644335.33</f>
        <v>644335.33</v>
      </c>
      <c r="P98" s="34"/>
      <c r="Q98" s="34"/>
      <c r="R98" s="34"/>
      <c r="S98" s="34"/>
      <c r="T98" s="35">
        <f>316817.67</f>
        <v>316817.67</v>
      </c>
      <c r="U98" s="35"/>
    </row>
    <row r="99" spans="1:21" s="1" customFormat="1" ht="13.5" customHeight="1">
      <c r="A99" s="31" t="s">
        <v>123</v>
      </c>
      <c r="B99" s="31"/>
      <c r="C99" s="31"/>
      <c r="D99" s="31"/>
      <c r="E99" s="31"/>
      <c r="F99" s="31"/>
      <c r="G99" s="32" t="s">
        <v>101</v>
      </c>
      <c r="H99" s="32"/>
      <c r="I99" s="32" t="s">
        <v>177</v>
      </c>
      <c r="J99" s="32"/>
      <c r="K99" s="33" t="s">
        <v>124</v>
      </c>
      <c r="L99" s="33"/>
      <c r="M99" s="34">
        <f>21664.67</f>
        <v>21664.67</v>
      </c>
      <c r="N99" s="34"/>
      <c r="O99" s="34">
        <f>21664.67</f>
        <v>21664.67</v>
      </c>
      <c r="P99" s="34"/>
      <c r="Q99" s="34"/>
      <c r="R99" s="34"/>
      <c r="S99" s="34"/>
      <c r="T99" s="35">
        <f>0</f>
        <v>0</v>
      </c>
      <c r="U99" s="35"/>
    </row>
    <row r="100" spans="1:21" s="1" customFormat="1" ht="13.5" customHeight="1">
      <c r="A100" s="31" t="s">
        <v>123</v>
      </c>
      <c r="B100" s="31"/>
      <c r="C100" s="31"/>
      <c r="D100" s="31"/>
      <c r="E100" s="31"/>
      <c r="F100" s="31"/>
      <c r="G100" s="32" t="s">
        <v>101</v>
      </c>
      <c r="H100" s="32"/>
      <c r="I100" s="32" t="s">
        <v>178</v>
      </c>
      <c r="J100" s="32"/>
      <c r="K100" s="33" t="s">
        <v>124</v>
      </c>
      <c r="L100" s="33"/>
      <c r="M100" s="34">
        <f>16650</f>
        <v>16650</v>
      </c>
      <c r="N100" s="34"/>
      <c r="O100" s="36" t="s">
        <v>41</v>
      </c>
      <c r="P100" s="36"/>
      <c r="Q100" s="36"/>
      <c r="R100" s="36"/>
      <c r="S100" s="36"/>
      <c r="T100" s="35">
        <f>16650</f>
        <v>16650</v>
      </c>
      <c r="U100" s="35"/>
    </row>
    <row r="101" spans="1:21" s="1" customFormat="1" ht="13.5" customHeight="1">
      <c r="A101" s="31" t="s">
        <v>140</v>
      </c>
      <c r="B101" s="31"/>
      <c r="C101" s="31"/>
      <c r="D101" s="31"/>
      <c r="E101" s="31"/>
      <c r="F101" s="31"/>
      <c r="G101" s="32" t="s">
        <v>101</v>
      </c>
      <c r="H101" s="32"/>
      <c r="I101" s="32" t="s">
        <v>179</v>
      </c>
      <c r="J101" s="32"/>
      <c r="K101" s="33" t="s">
        <v>141</v>
      </c>
      <c r="L101" s="33"/>
      <c r="M101" s="34">
        <f>26862676.65</f>
        <v>26862676.65</v>
      </c>
      <c r="N101" s="34"/>
      <c r="O101" s="34">
        <f>24863604.79</f>
        <v>24863604.79</v>
      </c>
      <c r="P101" s="34"/>
      <c r="Q101" s="34"/>
      <c r="R101" s="34"/>
      <c r="S101" s="34"/>
      <c r="T101" s="35">
        <f>1999071.86</f>
        <v>1999071.86</v>
      </c>
      <c r="U101" s="35"/>
    </row>
    <row r="102" spans="1:21" s="1" customFormat="1" ht="13.5" customHeight="1">
      <c r="A102" s="31" t="s">
        <v>123</v>
      </c>
      <c r="B102" s="31"/>
      <c r="C102" s="31"/>
      <c r="D102" s="31"/>
      <c r="E102" s="31"/>
      <c r="F102" s="31"/>
      <c r="G102" s="32" t="s">
        <v>101</v>
      </c>
      <c r="H102" s="32"/>
      <c r="I102" s="32" t="s">
        <v>179</v>
      </c>
      <c r="J102" s="32"/>
      <c r="K102" s="33" t="s">
        <v>124</v>
      </c>
      <c r="L102" s="33"/>
      <c r="M102" s="34">
        <f>300000</f>
        <v>300000</v>
      </c>
      <c r="N102" s="34"/>
      <c r="O102" s="36" t="s">
        <v>41</v>
      </c>
      <c r="P102" s="36"/>
      <c r="Q102" s="36"/>
      <c r="R102" s="36"/>
      <c r="S102" s="36"/>
      <c r="T102" s="35">
        <f>300000</f>
        <v>300000</v>
      </c>
      <c r="U102" s="35"/>
    </row>
    <row r="103" spans="1:21" s="1" customFormat="1" ht="13.5" customHeight="1">
      <c r="A103" s="31" t="s">
        <v>148</v>
      </c>
      <c r="B103" s="31"/>
      <c r="C103" s="31"/>
      <c r="D103" s="31"/>
      <c r="E103" s="31"/>
      <c r="F103" s="31"/>
      <c r="G103" s="32" t="s">
        <v>101</v>
      </c>
      <c r="H103" s="32"/>
      <c r="I103" s="32" t="s">
        <v>179</v>
      </c>
      <c r="J103" s="32"/>
      <c r="K103" s="33" t="s">
        <v>149</v>
      </c>
      <c r="L103" s="33"/>
      <c r="M103" s="34">
        <f>174060</f>
        <v>174060</v>
      </c>
      <c r="N103" s="34"/>
      <c r="O103" s="34">
        <f>174060</f>
        <v>174060</v>
      </c>
      <c r="P103" s="34"/>
      <c r="Q103" s="34"/>
      <c r="R103" s="34"/>
      <c r="S103" s="34"/>
      <c r="T103" s="35">
        <f>0</f>
        <v>0</v>
      </c>
      <c r="U103" s="35"/>
    </row>
    <row r="104" spans="1:21" s="1" customFormat="1" ht="13.5" customHeight="1">
      <c r="A104" s="31" t="s">
        <v>135</v>
      </c>
      <c r="B104" s="31"/>
      <c r="C104" s="31"/>
      <c r="D104" s="31"/>
      <c r="E104" s="31"/>
      <c r="F104" s="31"/>
      <c r="G104" s="32" t="s">
        <v>101</v>
      </c>
      <c r="H104" s="32"/>
      <c r="I104" s="32" t="s">
        <v>180</v>
      </c>
      <c r="J104" s="32"/>
      <c r="K104" s="33" t="s">
        <v>137</v>
      </c>
      <c r="L104" s="33"/>
      <c r="M104" s="34">
        <f>397676.51</f>
        <v>397676.51</v>
      </c>
      <c r="N104" s="34"/>
      <c r="O104" s="34">
        <f>259350.35</f>
        <v>259350.35</v>
      </c>
      <c r="P104" s="34"/>
      <c r="Q104" s="34"/>
      <c r="R104" s="34"/>
      <c r="S104" s="34"/>
      <c r="T104" s="35">
        <f>138326.16</f>
        <v>138326.16</v>
      </c>
      <c r="U104" s="35"/>
    </row>
    <row r="105" spans="1:21" s="1" customFormat="1" ht="13.5" customHeight="1">
      <c r="A105" s="31" t="s">
        <v>123</v>
      </c>
      <c r="B105" s="31"/>
      <c r="C105" s="31"/>
      <c r="D105" s="31"/>
      <c r="E105" s="31"/>
      <c r="F105" s="31"/>
      <c r="G105" s="32" t="s">
        <v>101</v>
      </c>
      <c r="H105" s="32"/>
      <c r="I105" s="32" t="s">
        <v>180</v>
      </c>
      <c r="J105" s="32"/>
      <c r="K105" s="33" t="s">
        <v>124</v>
      </c>
      <c r="L105" s="33"/>
      <c r="M105" s="34">
        <f>1332536.02</f>
        <v>1332536.02</v>
      </c>
      <c r="N105" s="34"/>
      <c r="O105" s="34">
        <f>1092509.43</f>
        <v>1092509.43</v>
      </c>
      <c r="P105" s="34"/>
      <c r="Q105" s="34"/>
      <c r="R105" s="34"/>
      <c r="S105" s="34"/>
      <c r="T105" s="35">
        <f>240026.59</f>
        <v>240026.59</v>
      </c>
      <c r="U105" s="35"/>
    </row>
    <row r="106" spans="1:21" s="1" customFormat="1" ht="13.5" customHeight="1">
      <c r="A106" s="31" t="s">
        <v>148</v>
      </c>
      <c r="B106" s="31"/>
      <c r="C106" s="31"/>
      <c r="D106" s="31"/>
      <c r="E106" s="31"/>
      <c r="F106" s="31"/>
      <c r="G106" s="32" t="s">
        <v>101</v>
      </c>
      <c r="H106" s="32"/>
      <c r="I106" s="32" t="s">
        <v>180</v>
      </c>
      <c r="J106" s="32"/>
      <c r="K106" s="33" t="s">
        <v>149</v>
      </c>
      <c r="L106" s="33"/>
      <c r="M106" s="34">
        <f>195000</f>
        <v>195000</v>
      </c>
      <c r="N106" s="34"/>
      <c r="O106" s="34">
        <f>179060</f>
        <v>179060</v>
      </c>
      <c r="P106" s="34"/>
      <c r="Q106" s="34"/>
      <c r="R106" s="34"/>
      <c r="S106" s="34"/>
      <c r="T106" s="35">
        <f>15940</f>
        <v>15940</v>
      </c>
      <c r="U106" s="35"/>
    </row>
    <row r="107" spans="1:21" s="1" customFormat="1" ht="13.5" customHeight="1">
      <c r="A107" s="31" t="s">
        <v>123</v>
      </c>
      <c r="B107" s="31"/>
      <c r="C107" s="31"/>
      <c r="D107" s="31"/>
      <c r="E107" s="31"/>
      <c r="F107" s="31"/>
      <c r="G107" s="32" t="s">
        <v>101</v>
      </c>
      <c r="H107" s="32"/>
      <c r="I107" s="32" t="s">
        <v>181</v>
      </c>
      <c r="J107" s="32"/>
      <c r="K107" s="33" t="s">
        <v>124</v>
      </c>
      <c r="L107" s="33"/>
      <c r="M107" s="34">
        <f>10000</f>
        <v>10000</v>
      </c>
      <c r="N107" s="34"/>
      <c r="O107" s="36" t="s">
        <v>41</v>
      </c>
      <c r="P107" s="36"/>
      <c r="Q107" s="36"/>
      <c r="R107" s="36"/>
      <c r="S107" s="36"/>
      <c r="T107" s="35">
        <f>10000</f>
        <v>10000</v>
      </c>
      <c r="U107" s="35"/>
    </row>
    <row r="108" spans="1:21" s="1" customFormat="1" ht="13.5" customHeight="1">
      <c r="A108" s="31" t="s">
        <v>123</v>
      </c>
      <c r="B108" s="31"/>
      <c r="C108" s="31"/>
      <c r="D108" s="31"/>
      <c r="E108" s="31"/>
      <c r="F108" s="31"/>
      <c r="G108" s="32" t="s">
        <v>101</v>
      </c>
      <c r="H108" s="32"/>
      <c r="I108" s="32" t="s">
        <v>182</v>
      </c>
      <c r="J108" s="32"/>
      <c r="K108" s="33" t="s">
        <v>124</v>
      </c>
      <c r="L108" s="33"/>
      <c r="M108" s="34">
        <f>115000</f>
        <v>115000</v>
      </c>
      <c r="N108" s="34"/>
      <c r="O108" s="34">
        <f>100000</f>
        <v>100000</v>
      </c>
      <c r="P108" s="34"/>
      <c r="Q108" s="34"/>
      <c r="R108" s="34"/>
      <c r="S108" s="34"/>
      <c r="T108" s="35">
        <f>15000</f>
        <v>15000</v>
      </c>
      <c r="U108" s="35"/>
    </row>
    <row r="109" spans="1:21" s="1" customFormat="1" ht="13.5" customHeight="1">
      <c r="A109" s="31" t="s">
        <v>123</v>
      </c>
      <c r="B109" s="31"/>
      <c r="C109" s="31"/>
      <c r="D109" s="31"/>
      <c r="E109" s="31"/>
      <c r="F109" s="31"/>
      <c r="G109" s="32" t="s">
        <v>101</v>
      </c>
      <c r="H109" s="32"/>
      <c r="I109" s="32" t="s">
        <v>183</v>
      </c>
      <c r="J109" s="32"/>
      <c r="K109" s="33" t="s">
        <v>124</v>
      </c>
      <c r="L109" s="33"/>
      <c r="M109" s="34">
        <f>165000</f>
        <v>165000</v>
      </c>
      <c r="N109" s="34"/>
      <c r="O109" s="34">
        <f>165000</f>
        <v>165000</v>
      </c>
      <c r="P109" s="34"/>
      <c r="Q109" s="34"/>
      <c r="R109" s="34"/>
      <c r="S109" s="34"/>
      <c r="T109" s="35">
        <f>0</f>
        <v>0</v>
      </c>
      <c r="U109" s="35"/>
    </row>
    <row r="110" spans="1:21" s="1" customFormat="1" ht="13.5" customHeight="1">
      <c r="A110" s="31" t="s">
        <v>131</v>
      </c>
      <c r="B110" s="31"/>
      <c r="C110" s="31"/>
      <c r="D110" s="31"/>
      <c r="E110" s="31"/>
      <c r="F110" s="31"/>
      <c r="G110" s="32" t="s">
        <v>101</v>
      </c>
      <c r="H110" s="32"/>
      <c r="I110" s="32" t="s">
        <v>184</v>
      </c>
      <c r="J110" s="32"/>
      <c r="K110" s="33" t="s">
        <v>133</v>
      </c>
      <c r="L110" s="33"/>
      <c r="M110" s="34">
        <f>2346256.19</f>
        <v>2346256.19</v>
      </c>
      <c r="N110" s="34"/>
      <c r="O110" s="34">
        <f>2150734.86</f>
        <v>2150734.86</v>
      </c>
      <c r="P110" s="34"/>
      <c r="Q110" s="34"/>
      <c r="R110" s="34"/>
      <c r="S110" s="34"/>
      <c r="T110" s="35">
        <f>195521.33</f>
        <v>195521.33</v>
      </c>
      <c r="U110" s="35"/>
    </row>
    <row r="111" spans="1:21" s="1" customFormat="1" ht="13.5" customHeight="1">
      <c r="A111" s="31" t="s">
        <v>123</v>
      </c>
      <c r="B111" s="31"/>
      <c r="C111" s="31"/>
      <c r="D111" s="31"/>
      <c r="E111" s="31"/>
      <c r="F111" s="31"/>
      <c r="G111" s="32" t="s">
        <v>101</v>
      </c>
      <c r="H111" s="32"/>
      <c r="I111" s="32" t="s">
        <v>185</v>
      </c>
      <c r="J111" s="32"/>
      <c r="K111" s="33" t="s">
        <v>124</v>
      </c>
      <c r="L111" s="33"/>
      <c r="M111" s="34">
        <f>166401.15</f>
        <v>166401.15</v>
      </c>
      <c r="N111" s="34"/>
      <c r="O111" s="36" t="s">
        <v>41</v>
      </c>
      <c r="P111" s="36"/>
      <c r="Q111" s="36"/>
      <c r="R111" s="36"/>
      <c r="S111" s="36"/>
      <c r="T111" s="35">
        <f>166401.15</f>
        <v>166401.15</v>
      </c>
      <c r="U111" s="35"/>
    </row>
    <row r="112" spans="1:21" s="1" customFormat="1" ht="13.5" customHeight="1">
      <c r="A112" s="31" t="s">
        <v>123</v>
      </c>
      <c r="B112" s="31"/>
      <c r="C112" s="31"/>
      <c r="D112" s="31"/>
      <c r="E112" s="31"/>
      <c r="F112" s="31"/>
      <c r="G112" s="32" t="s">
        <v>101</v>
      </c>
      <c r="H112" s="32"/>
      <c r="I112" s="32" t="s">
        <v>186</v>
      </c>
      <c r="J112" s="32"/>
      <c r="K112" s="33" t="s">
        <v>124</v>
      </c>
      <c r="L112" s="33"/>
      <c r="M112" s="34">
        <f>1202315.61</f>
        <v>1202315.61</v>
      </c>
      <c r="N112" s="34"/>
      <c r="O112" s="34">
        <f>1202315.61</f>
        <v>1202315.61</v>
      </c>
      <c r="P112" s="34"/>
      <c r="Q112" s="34"/>
      <c r="R112" s="34"/>
      <c r="S112" s="34"/>
      <c r="T112" s="35">
        <f>0</f>
        <v>0</v>
      </c>
      <c r="U112" s="35"/>
    </row>
    <row r="113" spans="1:21" s="1" customFormat="1" ht="13.5" customHeight="1">
      <c r="A113" s="31" t="s">
        <v>140</v>
      </c>
      <c r="B113" s="31"/>
      <c r="C113" s="31"/>
      <c r="D113" s="31"/>
      <c r="E113" s="31"/>
      <c r="F113" s="31"/>
      <c r="G113" s="32" t="s">
        <v>101</v>
      </c>
      <c r="H113" s="32"/>
      <c r="I113" s="32" t="s">
        <v>187</v>
      </c>
      <c r="J113" s="32"/>
      <c r="K113" s="33" t="s">
        <v>141</v>
      </c>
      <c r="L113" s="33"/>
      <c r="M113" s="34">
        <f>641226.55</f>
        <v>641226.55</v>
      </c>
      <c r="N113" s="34"/>
      <c r="O113" s="34">
        <f>637026.74</f>
        <v>637026.74</v>
      </c>
      <c r="P113" s="34"/>
      <c r="Q113" s="34"/>
      <c r="R113" s="34"/>
      <c r="S113" s="34"/>
      <c r="T113" s="35">
        <f>4199.81</f>
        <v>4199.81</v>
      </c>
      <c r="U113" s="35"/>
    </row>
    <row r="114" spans="1:21" s="1" customFormat="1" ht="13.5" customHeight="1">
      <c r="A114" s="31" t="s">
        <v>123</v>
      </c>
      <c r="B114" s="31"/>
      <c r="C114" s="31"/>
      <c r="D114" s="31"/>
      <c r="E114" s="31"/>
      <c r="F114" s="31"/>
      <c r="G114" s="32" t="s">
        <v>101</v>
      </c>
      <c r="H114" s="32"/>
      <c r="I114" s="32" t="s">
        <v>187</v>
      </c>
      <c r="J114" s="32"/>
      <c r="K114" s="33" t="s">
        <v>124</v>
      </c>
      <c r="L114" s="33"/>
      <c r="M114" s="34">
        <f>190000</f>
        <v>190000</v>
      </c>
      <c r="N114" s="34"/>
      <c r="O114" s="34">
        <f>54200</f>
        <v>54200</v>
      </c>
      <c r="P114" s="34"/>
      <c r="Q114" s="34"/>
      <c r="R114" s="34"/>
      <c r="S114" s="34"/>
      <c r="T114" s="35">
        <f>135800</f>
        <v>135800</v>
      </c>
      <c r="U114" s="35"/>
    </row>
    <row r="115" spans="1:21" s="1" customFormat="1" ht="13.5" customHeight="1">
      <c r="A115" s="31" t="s">
        <v>140</v>
      </c>
      <c r="B115" s="31"/>
      <c r="C115" s="31"/>
      <c r="D115" s="31"/>
      <c r="E115" s="31"/>
      <c r="F115" s="31"/>
      <c r="G115" s="32" t="s">
        <v>101</v>
      </c>
      <c r="H115" s="32"/>
      <c r="I115" s="32" t="s">
        <v>188</v>
      </c>
      <c r="J115" s="32"/>
      <c r="K115" s="33" t="s">
        <v>141</v>
      </c>
      <c r="L115" s="33"/>
      <c r="M115" s="34">
        <f>560000</f>
        <v>560000</v>
      </c>
      <c r="N115" s="34"/>
      <c r="O115" s="34">
        <f>415722.94</f>
        <v>415722.94</v>
      </c>
      <c r="P115" s="34"/>
      <c r="Q115" s="34"/>
      <c r="R115" s="34"/>
      <c r="S115" s="34"/>
      <c r="T115" s="35">
        <f>144277.06</f>
        <v>144277.06</v>
      </c>
      <c r="U115" s="35"/>
    </row>
    <row r="116" spans="1:21" s="1" customFormat="1" ht="33.75" customHeight="1">
      <c r="A116" s="31" t="s">
        <v>189</v>
      </c>
      <c r="B116" s="31"/>
      <c r="C116" s="31"/>
      <c r="D116" s="31"/>
      <c r="E116" s="31"/>
      <c r="F116" s="31"/>
      <c r="G116" s="32" t="s">
        <v>101</v>
      </c>
      <c r="H116" s="32"/>
      <c r="I116" s="32" t="s">
        <v>190</v>
      </c>
      <c r="J116" s="32"/>
      <c r="K116" s="33" t="s">
        <v>191</v>
      </c>
      <c r="L116" s="33"/>
      <c r="M116" s="34">
        <f>0</f>
        <v>0</v>
      </c>
      <c r="N116" s="34"/>
      <c r="O116" s="36" t="s">
        <v>41</v>
      </c>
      <c r="P116" s="36"/>
      <c r="Q116" s="36"/>
      <c r="R116" s="36"/>
      <c r="S116" s="36"/>
      <c r="T116" s="37" t="s">
        <v>41</v>
      </c>
      <c r="U116" s="37"/>
    </row>
    <row r="117" spans="1:21" s="1" customFormat="1" ht="33.75" customHeight="1">
      <c r="A117" s="31" t="s">
        <v>189</v>
      </c>
      <c r="B117" s="31"/>
      <c r="C117" s="31"/>
      <c r="D117" s="31"/>
      <c r="E117" s="31"/>
      <c r="F117" s="31"/>
      <c r="G117" s="32" t="s">
        <v>101</v>
      </c>
      <c r="H117" s="32"/>
      <c r="I117" s="32" t="s">
        <v>192</v>
      </c>
      <c r="J117" s="32"/>
      <c r="K117" s="33" t="s">
        <v>191</v>
      </c>
      <c r="L117" s="33"/>
      <c r="M117" s="34">
        <f>2229424.67</f>
        <v>2229424.67</v>
      </c>
      <c r="N117" s="34"/>
      <c r="O117" s="36" t="s">
        <v>41</v>
      </c>
      <c r="P117" s="36"/>
      <c r="Q117" s="36"/>
      <c r="R117" s="36"/>
      <c r="S117" s="36"/>
      <c r="T117" s="35">
        <f>2229424.67</f>
        <v>2229424.67</v>
      </c>
      <c r="U117" s="35"/>
    </row>
    <row r="118" spans="1:21" s="1" customFormat="1" ht="13.5" customHeight="1">
      <c r="A118" s="31" t="s">
        <v>148</v>
      </c>
      <c r="B118" s="31"/>
      <c r="C118" s="31"/>
      <c r="D118" s="31"/>
      <c r="E118" s="31"/>
      <c r="F118" s="31"/>
      <c r="G118" s="32" t="s">
        <v>101</v>
      </c>
      <c r="H118" s="32"/>
      <c r="I118" s="32" t="s">
        <v>193</v>
      </c>
      <c r="J118" s="32"/>
      <c r="K118" s="33" t="s">
        <v>149</v>
      </c>
      <c r="L118" s="33"/>
      <c r="M118" s="34">
        <f>100000</f>
        <v>100000</v>
      </c>
      <c r="N118" s="34"/>
      <c r="O118" s="34">
        <f>100000</f>
        <v>100000</v>
      </c>
      <c r="P118" s="34"/>
      <c r="Q118" s="34"/>
      <c r="R118" s="34"/>
      <c r="S118" s="34"/>
      <c r="T118" s="35">
        <f>0</f>
        <v>0</v>
      </c>
      <c r="U118" s="35"/>
    </row>
    <row r="119" spans="1:21" s="1" customFormat="1" ht="33.75" customHeight="1">
      <c r="A119" s="31" t="s">
        <v>189</v>
      </c>
      <c r="B119" s="31"/>
      <c r="C119" s="31"/>
      <c r="D119" s="31"/>
      <c r="E119" s="31"/>
      <c r="F119" s="31"/>
      <c r="G119" s="32" t="s">
        <v>101</v>
      </c>
      <c r="H119" s="32"/>
      <c r="I119" s="32" t="s">
        <v>194</v>
      </c>
      <c r="J119" s="32"/>
      <c r="K119" s="33" t="s">
        <v>191</v>
      </c>
      <c r="L119" s="33"/>
      <c r="M119" s="34">
        <f>6705338.14</f>
        <v>6705338.14</v>
      </c>
      <c r="N119" s="34"/>
      <c r="O119" s="34">
        <f>5891688.28</f>
        <v>5891688.28</v>
      </c>
      <c r="P119" s="34"/>
      <c r="Q119" s="34"/>
      <c r="R119" s="34"/>
      <c r="S119" s="34"/>
      <c r="T119" s="35">
        <f>813649.86</f>
        <v>813649.86</v>
      </c>
      <c r="U119" s="35"/>
    </row>
    <row r="120" spans="1:21" s="1" customFormat="1" ht="13.5" customHeight="1">
      <c r="A120" s="31" t="s">
        <v>123</v>
      </c>
      <c r="B120" s="31"/>
      <c r="C120" s="31"/>
      <c r="D120" s="31"/>
      <c r="E120" s="31"/>
      <c r="F120" s="31"/>
      <c r="G120" s="32" t="s">
        <v>101</v>
      </c>
      <c r="H120" s="32"/>
      <c r="I120" s="32" t="s">
        <v>195</v>
      </c>
      <c r="J120" s="32"/>
      <c r="K120" s="33" t="s">
        <v>124</v>
      </c>
      <c r="L120" s="33"/>
      <c r="M120" s="34">
        <f>5610400</f>
        <v>5610400</v>
      </c>
      <c r="N120" s="34"/>
      <c r="O120" s="34">
        <f>2006209.36</f>
        <v>2006209.36</v>
      </c>
      <c r="P120" s="34"/>
      <c r="Q120" s="34"/>
      <c r="R120" s="34"/>
      <c r="S120" s="34"/>
      <c r="T120" s="35">
        <f>3604190.64</f>
        <v>3604190.64</v>
      </c>
      <c r="U120" s="35"/>
    </row>
    <row r="121" spans="1:21" s="1" customFormat="1" ht="13.5" customHeight="1">
      <c r="A121" s="31" t="s">
        <v>123</v>
      </c>
      <c r="B121" s="31"/>
      <c r="C121" s="31"/>
      <c r="D121" s="31"/>
      <c r="E121" s="31"/>
      <c r="F121" s="31"/>
      <c r="G121" s="32" t="s">
        <v>101</v>
      </c>
      <c r="H121" s="32"/>
      <c r="I121" s="32" t="s">
        <v>196</v>
      </c>
      <c r="J121" s="32"/>
      <c r="K121" s="33" t="s">
        <v>124</v>
      </c>
      <c r="L121" s="33"/>
      <c r="M121" s="34">
        <f>400000</f>
        <v>400000</v>
      </c>
      <c r="N121" s="34"/>
      <c r="O121" s="34">
        <f>400000</f>
        <v>400000</v>
      </c>
      <c r="P121" s="34"/>
      <c r="Q121" s="34"/>
      <c r="R121" s="34"/>
      <c r="S121" s="34"/>
      <c r="T121" s="35">
        <f>0</f>
        <v>0</v>
      </c>
      <c r="U121" s="35"/>
    </row>
    <row r="122" spans="1:21" s="1" customFormat="1" ht="13.5" customHeight="1">
      <c r="A122" s="31" t="s">
        <v>123</v>
      </c>
      <c r="B122" s="31"/>
      <c r="C122" s="31"/>
      <c r="D122" s="31"/>
      <c r="E122" s="31"/>
      <c r="F122" s="31"/>
      <c r="G122" s="32" t="s">
        <v>101</v>
      </c>
      <c r="H122" s="32"/>
      <c r="I122" s="32" t="s">
        <v>197</v>
      </c>
      <c r="J122" s="32"/>
      <c r="K122" s="33" t="s">
        <v>124</v>
      </c>
      <c r="L122" s="33"/>
      <c r="M122" s="34">
        <f>0</f>
        <v>0</v>
      </c>
      <c r="N122" s="34"/>
      <c r="O122" s="36" t="s">
        <v>41</v>
      </c>
      <c r="P122" s="36"/>
      <c r="Q122" s="36"/>
      <c r="R122" s="36"/>
      <c r="S122" s="36"/>
      <c r="T122" s="37" t="s">
        <v>41</v>
      </c>
      <c r="U122" s="37"/>
    </row>
    <row r="123" spans="1:21" s="1" customFormat="1" ht="13.5" customHeight="1">
      <c r="A123" s="31" t="s">
        <v>140</v>
      </c>
      <c r="B123" s="31"/>
      <c r="C123" s="31"/>
      <c r="D123" s="31"/>
      <c r="E123" s="31"/>
      <c r="F123" s="31"/>
      <c r="G123" s="32" t="s">
        <v>101</v>
      </c>
      <c r="H123" s="32"/>
      <c r="I123" s="32" t="s">
        <v>198</v>
      </c>
      <c r="J123" s="32"/>
      <c r="K123" s="33" t="s">
        <v>141</v>
      </c>
      <c r="L123" s="33"/>
      <c r="M123" s="34">
        <f>2355368.3</f>
        <v>2355368.3</v>
      </c>
      <c r="N123" s="34"/>
      <c r="O123" s="34">
        <f>2355368.3</f>
        <v>2355368.3</v>
      </c>
      <c r="P123" s="34"/>
      <c r="Q123" s="34"/>
      <c r="R123" s="34"/>
      <c r="S123" s="34"/>
      <c r="T123" s="35">
        <f>0</f>
        <v>0</v>
      </c>
      <c r="U123" s="35"/>
    </row>
    <row r="124" spans="1:21" s="1" customFormat="1" ht="13.5" customHeight="1">
      <c r="A124" s="31" t="s">
        <v>123</v>
      </c>
      <c r="B124" s="31"/>
      <c r="C124" s="31"/>
      <c r="D124" s="31"/>
      <c r="E124" s="31"/>
      <c r="F124" s="31"/>
      <c r="G124" s="32" t="s">
        <v>101</v>
      </c>
      <c r="H124" s="32"/>
      <c r="I124" s="32" t="s">
        <v>198</v>
      </c>
      <c r="J124" s="32"/>
      <c r="K124" s="33" t="s">
        <v>124</v>
      </c>
      <c r="L124" s="33"/>
      <c r="M124" s="34">
        <f>6973040.94</f>
        <v>6973040.94</v>
      </c>
      <c r="N124" s="34"/>
      <c r="O124" s="34">
        <f>4430316.07</f>
        <v>4430316.07</v>
      </c>
      <c r="P124" s="34"/>
      <c r="Q124" s="34"/>
      <c r="R124" s="34"/>
      <c r="S124" s="34"/>
      <c r="T124" s="35">
        <f>2542724.87</f>
        <v>2542724.87</v>
      </c>
      <c r="U124" s="35"/>
    </row>
    <row r="125" spans="1:21" s="1" customFormat="1" ht="13.5" customHeight="1">
      <c r="A125" s="31" t="s">
        <v>144</v>
      </c>
      <c r="B125" s="31"/>
      <c r="C125" s="31"/>
      <c r="D125" s="31"/>
      <c r="E125" s="31"/>
      <c r="F125" s="31"/>
      <c r="G125" s="32" t="s">
        <v>101</v>
      </c>
      <c r="H125" s="32"/>
      <c r="I125" s="32" t="s">
        <v>198</v>
      </c>
      <c r="J125" s="32"/>
      <c r="K125" s="33" t="s">
        <v>145</v>
      </c>
      <c r="L125" s="33"/>
      <c r="M125" s="34">
        <f>1304</f>
        <v>1304</v>
      </c>
      <c r="N125" s="34"/>
      <c r="O125" s="34">
        <f>1304</f>
        <v>1304</v>
      </c>
      <c r="P125" s="34"/>
      <c r="Q125" s="34"/>
      <c r="R125" s="34"/>
      <c r="S125" s="34"/>
      <c r="T125" s="35">
        <f>0</f>
        <v>0</v>
      </c>
      <c r="U125" s="35"/>
    </row>
    <row r="126" spans="1:21" s="1" customFormat="1" ht="13.5" customHeight="1">
      <c r="A126" s="31" t="s">
        <v>146</v>
      </c>
      <c r="B126" s="31"/>
      <c r="C126" s="31"/>
      <c r="D126" s="31"/>
      <c r="E126" s="31"/>
      <c r="F126" s="31"/>
      <c r="G126" s="32" t="s">
        <v>101</v>
      </c>
      <c r="H126" s="32"/>
      <c r="I126" s="32" t="s">
        <v>198</v>
      </c>
      <c r="J126" s="32"/>
      <c r="K126" s="33" t="s">
        <v>147</v>
      </c>
      <c r="L126" s="33"/>
      <c r="M126" s="34">
        <f>6023.88</f>
        <v>6023.88</v>
      </c>
      <c r="N126" s="34"/>
      <c r="O126" s="34">
        <f>6023.88</f>
        <v>6023.88</v>
      </c>
      <c r="P126" s="34"/>
      <c r="Q126" s="34"/>
      <c r="R126" s="34"/>
      <c r="S126" s="34"/>
      <c r="T126" s="35">
        <f>0</f>
        <v>0</v>
      </c>
      <c r="U126" s="35"/>
    </row>
    <row r="127" spans="1:21" s="1" customFormat="1" ht="13.5" customHeight="1">
      <c r="A127" s="31" t="s">
        <v>148</v>
      </c>
      <c r="B127" s="31"/>
      <c r="C127" s="31"/>
      <c r="D127" s="31"/>
      <c r="E127" s="31"/>
      <c r="F127" s="31"/>
      <c r="G127" s="32" t="s">
        <v>101</v>
      </c>
      <c r="H127" s="32"/>
      <c r="I127" s="32" t="s">
        <v>198</v>
      </c>
      <c r="J127" s="32"/>
      <c r="K127" s="33" t="s">
        <v>149</v>
      </c>
      <c r="L127" s="33"/>
      <c r="M127" s="34">
        <f>114672.12</f>
        <v>114672.12</v>
      </c>
      <c r="N127" s="34"/>
      <c r="O127" s="34">
        <f>114060</f>
        <v>114060</v>
      </c>
      <c r="P127" s="34"/>
      <c r="Q127" s="34"/>
      <c r="R127" s="34"/>
      <c r="S127" s="34"/>
      <c r="T127" s="35">
        <f>612.12</f>
        <v>612.12</v>
      </c>
      <c r="U127" s="35"/>
    </row>
    <row r="128" spans="1:21" s="1" customFormat="1" ht="13.5" customHeight="1">
      <c r="A128" s="31" t="s">
        <v>123</v>
      </c>
      <c r="B128" s="31"/>
      <c r="C128" s="31"/>
      <c r="D128" s="31"/>
      <c r="E128" s="31"/>
      <c r="F128" s="31"/>
      <c r="G128" s="32" t="s">
        <v>101</v>
      </c>
      <c r="H128" s="32"/>
      <c r="I128" s="32" t="s">
        <v>199</v>
      </c>
      <c r="J128" s="32"/>
      <c r="K128" s="33" t="s">
        <v>124</v>
      </c>
      <c r="L128" s="33"/>
      <c r="M128" s="34">
        <f>2600000</f>
        <v>2600000</v>
      </c>
      <c r="N128" s="34"/>
      <c r="O128" s="36" t="s">
        <v>41</v>
      </c>
      <c r="P128" s="36"/>
      <c r="Q128" s="36"/>
      <c r="R128" s="36"/>
      <c r="S128" s="36"/>
      <c r="T128" s="35">
        <f>2600000</f>
        <v>2600000</v>
      </c>
      <c r="U128" s="35"/>
    </row>
    <row r="129" spans="1:21" s="1" customFormat="1" ht="13.5" customHeight="1">
      <c r="A129" s="31" t="s">
        <v>123</v>
      </c>
      <c r="B129" s="31"/>
      <c r="C129" s="31"/>
      <c r="D129" s="31"/>
      <c r="E129" s="31"/>
      <c r="F129" s="31"/>
      <c r="G129" s="32" t="s">
        <v>101</v>
      </c>
      <c r="H129" s="32"/>
      <c r="I129" s="32" t="s">
        <v>200</v>
      </c>
      <c r="J129" s="32"/>
      <c r="K129" s="33" t="s">
        <v>124</v>
      </c>
      <c r="L129" s="33"/>
      <c r="M129" s="34">
        <f>3531481.31</f>
        <v>3531481.31</v>
      </c>
      <c r="N129" s="34"/>
      <c r="O129" s="34">
        <f>2566905.79</f>
        <v>2566905.79</v>
      </c>
      <c r="P129" s="34"/>
      <c r="Q129" s="34"/>
      <c r="R129" s="34"/>
      <c r="S129" s="34"/>
      <c r="T129" s="35">
        <f>964575.52</f>
        <v>964575.52</v>
      </c>
      <c r="U129" s="35"/>
    </row>
    <row r="130" spans="1:21" s="1" customFormat="1" ht="13.5" customHeight="1">
      <c r="A130" s="31" t="s">
        <v>201</v>
      </c>
      <c r="B130" s="31"/>
      <c r="C130" s="31"/>
      <c r="D130" s="31"/>
      <c r="E130" s="31"/>
      <c r="F130" s="31"/>
      <c r="G130" s="32" t="s">
        <v>101</v>
      </c>
      <c r="H130" s="32"/>
      <c r="I130" s="32" t="s">
        <v>200</v>
      </c>
      <c r="J130" s="32"/>
      <c r="K130" s="33" t="s">
        <v>202</v>
      </c>
      <c r="L130" s="33"/>
      <c r="M130" s="34">
        <f>655987</f>
        <v>655987</v>
      </c>
      <c r="N130" s="34"/>
      <c r="O130" s="34">
        <f>655987</f>
        <v>655987</v>
      </c>
      <c r="P130" s="34"/>
      <c r="Q130" s="34"/>
      <c r="R130" s="34"/>
      <c r="S130" s="34"/>
      <c r="T130" s="35">
        <f>0</f>
        <v>0</v>
      </c>
      <c r="U130" s="35"/>
    </row>
    <row r="131" spans="1:21" s="1" customFormat="1" ht="13.5" customHeight="1">
      <c r="A131" s="31" t="s">
        <v>148</v>
      </c>
      <c r="B131" s="31"/>
      <c r="C131" s="31"/>
      <c r="D131" s="31"/>
      <c r="E131" s="31"/>
      <c r="F131" s="31"/>
      <c r="G131" s="32" t="s">
        <v>101</v>
      </c>
      <c r="H131" s="32"/>
      <c r="I131" s="32" t="s">
        <v>200</v>
      </c>
      <c r="J131" s="32"/>
      <c r="K131" s="33" t="s">
        <v>149</v>
      </c>
      <c r="L131" s="33"/>
      <c r="M131" s="34">
        <f>1059420</f>
        <v>1059420</v>
      </c>
      <c r="N131" s="34"/>
      <c r="O131" s="34">
        <f>459420</f>
        <v>459420</v>
      </c>
      <c r="P131" s="34"/>
      <c r="Q131" s="34"/>
      <c r="R131" s="34"/>
      <c r="S131" s="34"/>
      <c r="T131" s="35">
        <f>600000</f>
        <v>600000</v>
      </c>
      <c r="U131" s="35"/>
    </row>
    <row r="132" spans="1:21" s="1" customFormat="1" ht="13.5" customHeight="1">
      <c r="A132" s="31" t="s">
        <v>140</v>
      </c>
      <c r="B132" s="31"/>
      <c r="C132" s="31"/>
      <c r="D132" s="31"/>
      <c r="E132" s="31"/>
      <c r="F132" s="31"/>
      <c r="G132" s="32" t="s">
        <v>101</v>
      </c>
      <c r="H132" s="32"/>
      <c r="I132" s="32" t="s">
        <v>203</v>
      </c>
      <c r="J132" s="32"/>
      <c r="K132" s="33" t="s">
        <v>141</v>
      </c>
      <c r="L132" s="33"/>
      <c r="M132" s="34">
        <f>2900966.6</f>
        <v>2900966.6</v>
      </c>
      <c r="N132" s="34"/>
      <c r="O132" s="34">
        <f>1786645.15</f>
        <v>1786645.15</v>
      </c>
      <c r="P132" s="34"/>
      <c r="Q132" s="34"/>
      <c r="R132" s="34"/>
      <c r="S132" s="34"/>
      <c r="T132" s="35">
        <f>1114321.45</f>
        <v>1114321.45</v>
      </c>
      <c r="U132" s="35"/>
    </row>
    <row r="133" spans="1:21" s="1" customFormat="1" ht="13.5" customHeight="1">
      <c r="A133" s="31" t="s">
        <v>140</v>
      </c>
      <c r="B133" s="31"/>
      <c r="C133" s="31"/>
      <c r="D133" s="31"/>
      <c r="E133" s="31"/>
      <c r="F133" s="31"/>
      <c r="G133" s="32" t="s">
        <v>101</v>
      </c>
      <c r="H133" s="32"/>
      <c r="I133" s="32" t="s">
        <v>204</v>
      </c>
      <c r="J133" s="32"/>
      <c r="K133" s="33" t="s">
        <v>141</v>
      </c>
      <c r="L133" s="33"/>
      <c r="M133" s="34">
        <f>1600000</f>
        <v>1600000</v>
      </c>
      <c r="N133" s="34"/>
      <c r="O133" s="34">
        <f>740327.04</f>
        <v>740327.04</v>
      </c>
      <c r="P133" s="34"/>
      <c r="Q133" s="34"/>
      <c r="R133" s="34"/>
      <c r="S133" s="34"/>
      <c r="T133" s="35">
        <f>859672.96</f>
        <v>859672.96</v>
      </c>
      <c r="U133" s="35"/>
    </row>
    <row r="134" spans="1:21" s="1" customFormat="1" ht="13.5" customHeight="1">
      <c r="A134" s="31" t="s">
        <v>138</v>
      </c>
      <c r="B134" s="31"/>
      <c r="C134" s="31"/>
      <c r="D134" s="31"/>
      <c r="E134" s="31"/>
      <c r="F134" s="31"/>
      <c r="G134" s="32" t="s">
        <v>101</v>
      </c>
      <c r="H134" s="32"/>
      <c r="I134" s="32" t="s">
        <v>205</v>
      </c>
      <c r="J134" s="32"/>
      <c r="K134" s="33" t="s">
        <v>139</v>
      </c>
      <c r="L134" s="33"/>
      <c r="M134" s="34">
        <f>2939233.94</f>
        <v>2939233.94</v>
      </c>
      <c r="N134" s="34"/>
      <c r="O134" s="34">
        <f>2164400.17</f>
        <v>2164400.17</v>
      </c>
      <c r="P134" s="34"/>
      <c r="Q134" s="34"/>
      <c r="R134" s="34"/>
      <c r="S134" s="34"/>
      <c r="T134" s="35">
        <f>774833.77</f>
        <v>774833.77</v>
      </c>
      <c r="U134" s="35"/>
    </row>
    <row r="135" spans="1:21" s="1" customFormat="1" ht="13.5" customHeight="1">
      <c r="A135" s="31" t="s">
        <v>140</v>
      </c>
      <c r="B135" s="31"/>
      <c r="C135" s="31"/>
      <c r="D135" s="31"/>
      <c r="E135" s="31"/>
      <c r="F135" s="31"/>
      <c r="G135" s="32" t="s">
        <v>101</v>
      </c>
      <c r="H135" s="32"/>
      <c r="I135" s="32" t="s">
        <v>206</v>
      </c>
      <c r="J135" s="32"/>
      <c r="K135" s="33" t="s">
        <v>141</v>
      </c>
      <c r="L135" s="33"/>
      <c r="M135" s="34">
        <f>29794.06</f>
        <v>29794.06</v>
      </c>
      <c r="N135" s="34"/>
      <c r="O135" s="34">
        <f>29794.06</f>
        <v>29794.06</v>
      </c>
      <c r="P135" s="34"/>
      <c r="Q135" s="34"/>
      <c r="R135" s="34"/>
      <c r="S135" s="34"/>
      <c r="T135" s="35">
        <f>0</f>
        <v>0</v>
      </c>
      <c r="U135" s="35"/>
    </row>
    <row r="136" spans="1:21" s="1" customFormat="1" ht="13.5" customHeight="1">
      <c r="A136" s="31" t="s">
        <v>123</v>
      </c>
      <c r="B136" s="31"/>
      <c r="C136" s="31"/>
      <c r="D136" s="31"/>
      <c r="E136" s="31"/>
      <c r="F136" s="31"/>
      <c r="G136" s="32" t="s">
        <v>101</v>
      </c>
      <c r="H136" s="32"/>
      <c r="I136" s="32" t="s">
        <v>206</v>
      </c>
      <c r="J136" s="32"/>
      <c r="K136" s="33" t="s">
        <v>124</v>
      </c>
      <c r="L136" s="33"/>
      <c r="M136" s="34">
        <f>245656.79</f>
        <v>245656.79</v>
      </c>
      <c r="N136" s="34"/>
      <c r="O136" s="34">
        <f>245656.79</f>
        <v>245656.79</v>
      </c>
      <c r="P136" s="34"/>
      <c r="Q136" s="34"/>
      <c r="R136" s="34"/>
      <c r="S136" s="34"/>
      <c r="T136" s="35">
        <f>0</f>
        <v>0</v>
      </c>
      <c r="U136" s="35"/>
    </row>
    <row r="137" spans="1:21" s="1" customFormat="1" ht="13.5" customHeight="1">
      <c r="A137" s="31" t="s">
        <v>123</v>
      </c>
      <c r="B137" s="31"/>
      <c r="C137" s="31"/>
      <c r="D137" s="31"/>
      <c r="E137" s="31"/>
      <c r="F137" s="31"/>
      <c r="G137" s="32" t="s">
        <v>101</v>
      </c>
      <c r="H137" s="32"/>
      <c r="I137" s="32" t="s">
        <v>207</v>
      </c>
      <c r="J137" s="32"/>
      <c r="K137" s="33" t="s">
        <v>124</v>
      </c>
      <c r="L137" s="33"/>
      <c r="M137" s="34">
        <f>0</f>
        <v>0</v>
      </c>
      <c r="N137" s="34"/>
      <c r="O137" s="36" t="s">
        <v>41</v>
      </c>
      <c r="P137" s="36"/>
      <c r="Q137" s="36"/>
      <c r="R137" s="36"/>
      <c r="S137" s="36"/>
      <c r="T137" s="37" t="s">
        <v>41</v>
      </c>
      <c r="U137" s="37"/>
    </row>
    <row r="138" spans="1:21" s="1" customFormat="1" ht="13.5" customHeight="1">
      <c r="A138" s="31" t="s">
        <v>123</v>
      </c>
      <c r="B138" s="31"/>
      <c r="C138" s="31"/>
      <c r="D138" s="31"/>
      <c r="E138" s="31"/>
      <c r="F138" s="31"/>
      <c r="G138" s="32" t="s">
        <v>101</v>
      </c>
      <c r="H138" s="32"/>
      <c r="I138" s="32" t="s">
        <v>208</v>
      </c>
      <c r="J138" s="32"/>
      <c r="K138" s="33" t="s">
        <v>124</v>
      </c>
      <c r="L138" s="33"/>
      <c r="M138" s="34">
        <f>1555092.7</f>
        <v>1555092.7</v>
      </c>
      <c r="N138" s="34"/>
      <c r="O138" s="34">
        <f>1301768.92</f>
        <v>1301768.92</v>
      </c>
      <c r="P138" s="34"/>
      <c r="Q138" s="34"/>
      <c r="R138" s="34"/>
      <c r="S138" s="34"/>
      <c r="T138" s="35">
        <f>253323.78</f>
        <v>253323.78</v>
      </c>
      <c r="U138" s="35"/>
    </row>
    <row r="139" spans="1:21" s="1" customFormat="1" ht="13.5" customHeight="1">
      <c r="A139" s="31" t="s">
        <v>123</v>
      </c>
      <c r="B139" s="31"/>
      <c r="C139" s="31"/>
      <c r="D139" s="31"/>
      <c r="E139" s="31"/>
      <c r="F139" s="31"/>
      <c r="G139" s="32" t="s">
        <v>101</v>
      </c>
      <c r="H139" s="32"/>
      <c r="I139" s="32" t="s">
        <v>209</v>
      </c>
      <c r="J139" s="32"/>
      <c r="K139" s="33" t="s">
        <v>124</v>
      </c>
      <c r="L139" s="33"/>
      <c r="M139" s="34">
        <f>0</f>
        <v>0</v>
      </c>
      <c r="N139" s="34"/>
      <c r="O139" s="36" t="s">
        <v>41</v>
      </c>
      <c r="P139" s="36"/>
      <c r="Q139" s="36"/>
      <c r="R139" s="36"/>
      <c r="S139" s="36"/>
      <c r="T139" s="37" t="s">
        <v>41</v>
      </c>
      <c r="U139" s="37"/>
    </row>
    <row r="140" spans="1:21" s="1" customFormat="1" ht="13.5" customHeight="1">
      <c r="A140" s="31" t="s">
        <v>123</v>
      </c>
      <c r="B140" s="31"/>
      <c r="C140" s="31"/>
      <c r="D140" s="31"/>
      <c r="E140" s="31"/>
      <c r="F140" s="31"/>
      <c r="G140" s="32" t="s">
        <v>101</v>
      </c>
      <c r="H140" s="32"/>
      <c r="I140" s="32" t="s">
        <v>210</v>
      </c>
      <c r="J140" s="32"/>
      <c r="K140" s="33" t="s">
        <v>124</v>
      </c>
      <c r="L140" s="33"/>
      <c r="M140" s="34">
        <f>557900.97</f>
        <v>557900.97</v>
      </c>
      <c r="N140" s="34"/>
      <c r="O140" s="34">
        <f>557900.97</f>
        <v>557900.97</v>
      </c>
      <c r="P140" s="34"/>
      <c r="Q140" s="34"/>
      <c r="R140" s="34"/>
      <c r="S140" s="34"/>
      <c r="T140" s="35">
        <f>0</f>
        <v>0</v>
      </c>
      <c r="U140" s="35"/>
    </row>
    <row r="141" spans="1:21" s="1" customFormat="1" ht="13.5" customHeight="1">
      <c r="A141" s="31" t="s">
        <v>123</v>
      </c>
      <c r="B141" s="31"/>
      <c r="C141" s="31"/>
      <c r="D141" s="31"/>
      <c r="E141" s="31"/>
      <c r="F141" s="31"/>
      <c r="G141" s="32" t="s">
        <v>101</v>
      </c>
      <c r="H141" s="32"/>
      <c r="I141" s="32" t="s">
        <v>211</v>
      </c>
      <c r="J141" s="32"/>
      <c r="K141" s="33" t="s">
        <v>124</v>
      </c>
      <c r="L141" s="33"/>
      <c r="M141" s="34">
        <f>4041140.1</f>
        <v>4041140.1</v>
      </c>
      <c r="N141" s="34"/>
      <c r="O141" s="34">
        <f>3653133.6</f>
        <v>3653133.6</v>
      </c>
      <c r="P141" s="34"/>
      <c r="Q141" s="34"/>
      <c r="R141" s="34"/>
      <c r="S141" s="34"/>
      <c r="T141" s="35">
        <f>388006.5</f>
        <v>388006.5</v>
      </c>
      <c r="U141" s="35"/>
    </row>
    <row r="142" spans="1:21" s="1" customFormat="1" ht="13.5" customHeight="1">
      <c r="A142" s="31" t="s">
        <v>123</v>
      </c>
      <c r="B142" s="31"/>
      <c r="C142" s="31"/>
      <c r="D142" s="31"/>
      <c r="E142" s="31"/>
      <c r="F142" s="31"/>
      <c r="G142" s="32" t="s">
        <v>101</v>
      </c>
      <c r="H142" s="32"/>
      <c r="I142" s="32" t="s">
        <v>212</v>
      </c>
      <c r="J142" s="32"/>
      <c r="K142" s="33" t="s">
        <v>124</v>
      </c>
      <c r="L142" s="33"/>
      <c r="M142" s="34">
        <f>3405108.89</f>
        <v>3405108.89</v>
      </c>
      <c r="N142" s="34"/>
      <c r="O142" s="34">
        <f>3405108.89</f>
        <v>3405108.89</v>
      </c>
      <c r="P142" s="34"/>
      <c r="Q142" s="34"/>
      <c r="R142" s="34"/>
      <c r="S142" s="34"/>
      <c r="T142" s="35">
        <f>0</f>
        <v>0</v>
      </c>
      <c r="U142" s="35"/>
    </row>
    <row r="143" spans="1:21" s="1" customFormat="1" ht="13.5" customHeight="1">
      <c r="A143" s="31" t="s">
        <v>123</v>
      </c>
      <c r="B143" s="31"/>
      <c r="C143" s="31"/>
      <c r="D143" s="31"/>
      <c r="E143" s="31"/>
      <c r="F143" s="31"/>
      <c r="G143" s="32" t="s">
        <v>101</v>
      </c>
      <c r="H143" s="32"/>
      <c r="I143" s="32" t="s">
        <v>213</v>
      </c>
      <c r="J143" s="32"/>
      <c r="K143" s="33" t="s">
        <v>124</v>
      </c>
      <c r="L143" s="33"/>
      <c r="M143" s="34">
        <f>851277.23</f>
        <v>851277.23</v>
      </c>
      <c r="N143" s="34"/>
      <c r="O143" s="34">
        <f>851277.23</f>
        <v>851277.23</v>
      </c>
      <c r="P143" s="34"/>
      <c r="Q143" s="34"/>
      <c r="R143" s="34"/>
      <c r="S143" s="34"/>
      <c r="T143" s="35">
        <f>0</f>
        <v>0</v>
      </c>
      <c r="U143" s="35"/>
    </row>
    <row r="144" spans="1:21" s="1" customFormat="1" ht="13.5" customHeight="1">
      <c r="A144" s="31" t="s">
        <v>131</v>
      </c>
      <c r="B144" s="31"/>
      <c r="C144" s="31"/>
      <c r="D144" s="31"/>
      <c r="E144" s="31"/>
      <c r="F144" s="31"/>
      <c r="G144" s="32" t="s">
        <v>101</v>
      </c>
      <c r="H144" s="32"/>
      <c r="I144" s="32" t="s">
        <v>214</v>
      </c>
      <c r="J144" s="32"/>
      <c r="K144" s="33" t="s">
        <v>133</v>
      </c>
      <c r="L144" s="33"/>
      <c r="M144" s="34">
        <f>827629</f>
        <v>827629</v>
      </c>
      <c r="N144" s="34"/>
      <c r="O144" s="34">
        <f>827629</f>
        <v>827629</v>
      </c>
      <c r="P144" s="34"/>
      <c r="Q144" s="34"/>
      <c r="R144" s="34"/>
      <c r="S144" s="34"/>
      <c r="T144" s="35">
        <f>0</f>
        <v>0</v>
      </c>
      <c r="U144" s="35"/>
    </row>
    <row r="145" spans="1:21" s="1" customFormat="1" ht="13.5" customHeight="1">
      <c r="A145" s="31" t="s">
        <v>140</v>
      </c>
      <c r="B145" s="31"/>
      <c r="C145" s="31"/>
      <c r="D145" s="31"/>
      <c r="E145" s="31"/>
      <c r="F145" s="31"/>
      <c r="G145" s="32" t="s">
        <v>101</v>
      </c>
      <c r="H145" s="32"/>
      <c r="I145" s="32" t="s">
        <v>215</v>
      </c>
      <c r="J145" s="32"/>
      <c r="K145" s="33" t="s">
        <v>141</v>
      </c>
      <c r="L145" s="33"/>
      <c r="M145" s="34">
        <f>1124031.92</f>
        <v>1124031.92</v>
      </c>
      <c r="N145" s="34"/>
      <c r="O145" s="34">
        <f>1124031.92</f>
        <v>1124031.92</v>
      </c>
      <c r="P145" s="34"/>
      <c r="Q145" s="34"/>
      <c r="R145" s="34"/>
      <c r="S145" s="34"/>
      <c r="T145" s="35">
        <f>0</f>
        <v>0</v>
      </c>
      <c r="U145" s="35"/>
    </row>
    <row r="146" spans="1:21" s="1" customFormat="1" ht="13.5" customHeight="1">
      <c r="A146" s="31" t="s">
        <v>102</v>
      </c>
      <c r="B146" s="31"/>
      <c r="C146" s="31"/>
      <c r="D146" s="31"/>
      <c r="E146" s="31"/>
      <c r="F146" s="31"/>
      <c r="G146" s="32" t="s">
        <v>101</v>
      </c>
      <c r="H146" s="32"/>
      <c r="I146" s="32" t="s">
        <v>216</v>
      </c>
      <c r="J146" s="32"/>
      <c r="K146" s="33" t="s">
        <v>104</v>
      </c>
      <c r="L146" s="33"/>
      <c r="M146" s="34">
        <f>0</f>
        <v>0</v>
      </c>
      <c r="N146" s="34"/>
      <c r="O146" s="36" t="s">
        <v>41</v>
      </c>
      <c r="P146" s="36"/>
      <c r="Q146" s="36"/>
      <c r="R146" s="36"/>
      <c r="S146" s="36"/>
      <c r="T146" s="37" t="s">
        <v>41</v>
      </c>
      <c r="U146" s="37"/>
    </row>
    <row r="147" spans="1:21" s="1" customFormat="1" ht="13.5" customHeight="1">
      <c r="A147" s="31" t="s">
        <v>105</v>
      </c>
      <c r="B147" s="31"/>
      <c r="C147" s="31"/>
      <c r="D147" s="31"/>
      <c r="E147" s="31"/>
      <c r="F147" s="31"/>
      <c r="G147" s="32" t="s">
        <v>101</v>
      </c>
      <c r="H147" s="32"/>
      <c r="I147" s="32" t="s">
        <v>217</v>
      </c>
      <c r="J147" s="32"/>
      <c r="K147" s="33" t="s">
        <v>107</v>
      </c>
      <c r="L147" s="33"/>
      <c r="M147" s="34">
        <f>0</f>
        <v>0</v>
      </c>
      <c r="N147" s="34"/>
      <c r="O147" s="36" t="s">
        <v>41</v>
      </c>
      <c r="P147" s="36"/>
      <c r="Q147" s="36"/>
      <c r="R147" s="36"/>
      <c r="S147" s="36"/>
      <c r="T147" s="37" t="s">
        <v>41</v>
      </c>
      <c r="U147" s="37"/>
    </row>
    <row r="148" spans="1:21" s="1" customFormat="1" ht="13.5" customHeight="1">
      <c r="A148" s="31" t="s">
        <v>148</v>
      </c>
      <c r="B148" s="31"/>
      <c r="C148" s="31"/>
      <c r="D148" s="31"/>
      <c r="E148" s="31"/>
      <c r="F148" s="31"/>
      <c r="G148" s="32" t="s">
        <v>101</v>
      </c>
      <c r="H148" s="32"/>
      <c r="I148" s="32" t="s">
        <v>218</v>
      </c>
      <c r="J148" s="32"/>
      <c r="K148" s="33" t="s">
        <v>149</v>
      </c>
      <c r="L148" s="33"/>
      <c r="M148" s="34">
        <f>3748.27</f>
        <v>3748.27</v>
      </c>
      <c r="N148" s="34"/>
      <c r="O148" s="36" t="s">
        <v>41</v>
      </c>
      <c r="P148" s="36"/>
      <c r="Q148" s="36"/>
      <c r="R148" s="36"/>
      <c r="S148" s="36"/>
      <c r="T148" s="35">
        <f>3748.27</f>
        <v>3748.27</v>
      </c>
      <c r="U148" s="35"/>
    </row>
    <row r="149" spans="1:21" s="1" customFormat="1" ht="24" customHeight="1">
      <c r="A149" s="31" t="s">
        <v>173</v>
      </c>
      <c r="B149" s="31"/>
      <c r="C149" s="31"/>
      <c r="D149" s="31"/>
      <c r="E149" s="31"/>
      <c r="F149" s="31"/>
      <c r="G149" s="32" t="s">
        <v>101</v>
      </c>
      <c r="H149" s="32"/>
      <c r="I149" s="32" t="s">
        <v>219</v>
      </c>
      <c r="J149" s="32"/>
      <c r="K149" s="33" t="s">
        <v>175</v>
      </c>
      <c r="L149" s="33"/>
      <c r="M149" s="34">
        <f>1297141.98</f>
        <v>1297141.98</v>
      </c>
      <c r="N149" s="34"/>
      <c r="O149" s="34">
        <f>1288977.49</f>
        <v>1288977.49</v>
      </c>
      <c r="P149" s="34"/>
      <c r="Q149" s="34"/>
      <c r="R149" s="34"/>
      <c r="S149" s="34"/>
      <c r="T149" s="35">
        <f>8164.49</f>
        <v>8164.49</v>
      </c>
      <c r="U149" s="35"/>
    </row>
    <row r="150" spans="1:21" s="1" customFormat="1" ht="24" customHeight="1">
      <c r="A150" s="31" t="s">
        <v>173</v>
      </c>
      <c r="B150" s="31"/>
      <c r="C150" s="31"/>
      <c r="D150" s="31"/>
      <c r="E150" s="31"/>
      <c r="F150" s="31"/>
      <c r="G150" s="32" t="s">
        <v>101</v>
      </c>
      <c r="H150" s="32"/>
      <c r="I150" s="32" t="s">
        <v>220</v>
      </c>
      <c r="J150" s="32"/>
      <c r="K150" s="33" t="s">
        <v>175</v>
      </c>
      <c r="L150" s="33"/>
      <c r="M150" s="34">
        <f>48000</f>
        <v>48000</v>
      </c>
      <c r="N150" s="34"/>
      <c r="O150" s="34">
        <f>48000</f>
        <v>48000</v>
      </c>
      <c r="P150" s="34"/>
      <c r="Q150" s="34"/>
      <c r="R150" s="34"/>
      <c r="S150" s="34"/>
      <c r="T150" s="35">
        <f>0</f>
        <v>0</v>
      </c>
      <c r="U150" s="35"/>
    </row>
    <row r="151" spans="1:21" s="1" customFormat="1" ht="24" customHeight="1">
      <c r="A151" s="31" t="s">
        <v>173</v>
      </c>
      <c r="B151" s="31"/>
      <c r="C151" s="31"/>
      <c r="D151" s="31"/>
      <c r="E151" s="31"/>
      <c r="F151" s="31"/>
      <c r="G151" s="32" t="s">
        <v>101</v>
      </c>
      <c r="H151" s="32"/>
      <c r="I151" s="32" t="s">
        <v>221</v>
      </c>
      <c r="J151" s="32"/>
      <c r="K151" s="33" t="s">
        <v>175</v>
      </c>
      <c r="L151" s="33"/>
      <c r="M151" s="34">
        <f>4811390</f>
        <v>4811390</v>
      </c>
      <c r="N151" s="34"/>
      <c r="O151" s="34">
        <f>3512950</f>
        <v>3512950</v>
      </c>
      <c r="P151" s="34"/>
      <c r="Q151" s="34"/>
      <c r="R151" s="34"/>
      <c r="S151" s="34"/>
      <c r="T151" s="35">
        <f>1298440</f>
        <v>1298440</v>
      </c>
      <c r="U151" s="35"/>
    </row>
    <row r="152" spans="1:21" s="1" customFormat="1" ht="24" customHeight="1">
      <c r="A152" s="31" t="s">
        <v>173</v>
      </c>
      <c r="B152" s="31"/>
      <c r="C152" s="31"/>
      <c r="D152" s="31"/>
      <c r="E152" s="31"/>
      <c r="F152" s="31"/>
      <c r="G152" s="32" t="s">
        <v>101</v>
      </c>
      <c r="H152" s="32"/>
      <c r="I152" s="32" t="s">
        <v>222</v>
      </c>
      <c r="J152" s="32"/>
      <c r="K152" s="33" t="s">
        <v>175</v>
      </c>
      <c r="L152" s="33"/>
      <c r="M152" s="34">
        <f>18648610</f>
        <v>18648610</v>
      </c>
      <c r="N152" s="34"/>
      <c r="O152" s="34">
        <f>18363050</f>
        <v>18363050</v>
      </c>
      <c r="P152" s="34"/>
      <c r="Q152" s="34"/>
      <c r="R152" s="34"/>
      <c r="S152" s="34"/>
      <c r="T152" s="35">
        <f>285560</f>
        <v>285560</v>
      </c>
      <c r="U152" s="35"/>
    </row>
    <row r="153" spans="1:21" s="1" customFormat="1" ht="24" customHeight="1">
      <c r="A153" s="31" t="s">
        <v>173</v>
      </c>
      <c r="B153" s="31"/>
      <c r="C153" s="31"/>
      <c r="D153" s="31"/>
      <c r="E153" s="31"/>
      <c r="F153" s="31"/>
      <c r="G153" s="32" t="s">
        <v>101</v>
      </c>
      <c r="H153" s="32"/>
      <c r="I153" s="32" t="s">
        <v>223</v>
      </c>
      <c r="J153" s="32"/>
      <c r="K153" s="33" t="s">
        <v>175</v>
      </c>
      <c r="L153" s="33"/>
      <c r="M153" s="34">
        <f>2768510</f>
        <v>2768510</v>
      </c>
      <c r="N153" s="34"/>
      <c r="O153" s="34">
        <f>1996700</f>
        <v>1996700</v>
      </c>
      <c r="P153" s="34"/>
      <c r="Q153" s="34"/>
      <c r="R153" s="34"/>
      <c r="S153" s="34"/>
      <c r="T153" s="35">
        <f>771810</f>
        <v>771810</v>
      </c>
      <c r="U153" s="35"/>
    </row>
    <row r="154" spans="1:21" s="1" customFormat="1" ht="24" customHeight="1">
      <c r="A154" s="31" t="s">
        <v>173</v>
      </c>
      <c r="B154" s="31"/>
      <c r="C154" s="31"/>
      <c r="D154" s="31"/>
      <c r="E154" s="31"/>
      <c r="F154" s="31"/>
      <c r="G154" s="32" t="s">
        <v>101</v>
      </c>
      <c r="H154" s="32"/>
      <c r="I154" s="32" t="s">
        <v>224</v>
      </c>
      <c r="J154" s="32"/>
      <c r="K154" s="33" t="s">
        <v>175</v>
      </c>
      <c r="L154" s="33"/>
      <c r="M154" s="34">
        <f>9211490</f>
        <v>9211490</v>
      </c>
      <c r="N154" s="34"/>
      <c r="O154" s="34">
        <f>8985000</f>
        <v>8985000</v>
      </c>
      <c r="P154" s="34"/>
      <c r="Q154" s="34"/>
      <c r="R154" s="34"/>
      <c r="S154" s="34"/>
      <c r="T154" s="35">
        <f>226490</f>
        <v>226490</v>
      </c>
      <c r="U154" s="35"/>
    </row>
    <row r="155" spans="1:21" s="1" customFormat="1" ht="24" customHeight="1">
      <c r="A155" s="31" t="s">
        <v>173</v>
      </c>
      <c r="B155" s="31"/>
      <c r="C155" s="31"/>
      <c r="D155" s="31"/>
      <c r="E155" s="31"/>
      <c r="F155" s="31"/>
      <c r="G155" s="32" t="s">
        <v>101</v>
      </c>
      <c r="H155" s="32"/>
      <c r="I155" s="32" t="s">
        <v>225</v>
      </c>
      <c r="J155" s="32"/>
      <c r="K155" s="33" t="s">
        <v>175</v>
      </c>
      <c r="L155" s="33"/>
      <c r="M155" s="34">
        <f>0</f>
        <v>0</v>
      </c>
      <c r="N155" s="34"/>
      <c r="O155" s="36" t="s">
        <v>41</v>
      </c>
      <c r="P155" s="36"/>
      <c r="Q155" s="36"/>
      <c r="R155" s="36"/>
      <c r="S155" s="36"/>
      <c r="T155" s="37" t="s">
        <v>41</v>
      </c>
      <c r="U155" s="37"/>
    </row>
    <row r="156" spans="1:21" s="1" customFormat="1" ht="24" customHeight="1">
      <c r="A156" s="31" t="s">
        <v>173</v>
      </c>
      <c r="B156" s="31"/>
      <c r="C156" s="31"/>
      <c r="D156" s="31"/>
      <c r="E156" s="31"/>
      <c r="F156" s="31"/>
      <c r="G156" s="32" t="s">
        <v>101</v>
      </c>
      <c r="H156" s="32"/>
      <c r="I156" s="32" t="s">
        <v>226</v>
      </c>
      <c r="J156" s="32"/>
      <c r="K156" s="33" t="s">
        <v>175</v>
      </c>
      <c r="L156" s="33"/>
      <c r="M156" s="34">
        <f>1151025.55</f>
        <v>1151025.55</v>
      </c>
      <c r="N156" s="34"/>
      <c r="O156" s="34">
        <f>1151025.55</f>
        <v>1151025.55</v>
      </c>
      <c r="P156" s="34"/>
      <c r="Q156" s="34"/>
      <c r="R156" s="34"/>
      <c r="S156" s="34"/>
      <c r="T156" s="35">
        <f>0</f>
        <v>0</v>
      </c>
      <c r="U156" s="35"/>
    </row>
    <row r="157" spans="1:21" s="1" customFormat="1" ht="13.5" customHeight="1">
      <c r="A157" s="31" t="s">
        <v>140</v>
      </c>
      <c r="B157" s="31"/>
      <c r="C157" s="31"/>
      <c r="D157" s="31"/>
      <c r="E157" s="31"/>
      <c r="F157" s="31"/>
      <c r="G157" s="32" t="s">
        <v>101</v>
      </c>
      <c r="H157" s="32"/>
      <c r="I157" s="32" t="s">
        <v>227</v>
      </c>
      <c r="J157" s="32"/>
      <c r="K157" s="33" t="s">
        <v>141</v>
      </c>
      <c r="L157" s="33"/>
      <c r="M157" s="34">
        <f>191300</f>
        <v>191300</v>
      </c>
      <c r="N157" s="34"/>
      <c r="O157" s="36" t="s">
        <v>41</v>
      </c>
      <c r="P157" s="36"/>
      <c r="Q157" s="36"/>
      <c r="R157" s="36"/>
      <c r="S157" s="36"/>
      <c r="T157" s="35">
        <f>191300</f>
        <v>191300</v>
      </c>
      <c r="U157" s="35"/>
    </row>
    <row r="158" spans="1:21" s="1" customFormat="1" ht="24" customHeight="1">
      <c r="A158" s="31" t="s">
        <v>228</v>
      </c>
      <c r="B158" s="31"/>
      <c r="C158" s="31"/>
      <c r="D158" s="31"/>
      <c r="E158" s="31"/>
      <c r="F158" s="31"/>
      <c r="G158" s="32" t="s">
        <v>101</v>
      </c>
      <c r="H158" s="32"/>
      <c r="I158" s="32" t="s">
        <v>229</v>
      </c>
      <c r="J158" s="32"/>
      <c r="K158" s="33" t="s">
        <v>230</v>
      </c>
      <c r="L158" s="33"/>
      <c r="M158" s="34">
        <f>389328</f>
        <v>389328</v>
      </c>
      <c r="N158" s="34"/>
      <c r="O158" s="34">
        <f>356884</f>
        <v>356884</v>
      </c>
      <c r="P158" s="34"/>
      <c r="Q158" s="34"/>
      <c r="R158" s="34"/>
      <c r="S158" s="34"/>
      <c r="T158" s="35">
        <f>32444</f>
        <v>32444</v>
      </c>
      <c r="U158" s="35"/>
    </row>
    <row r="159" spans="1:21" s="1" customFormat="1" ht="24" customHeight="1">
      <c r="A159" s="31" t="s">
        <v>173</v>
      </c>
      <c r="B159" s="31"/>
      <c r="C159" s="31"/>
      <c r="D159" s="31"/>
      <c r="E159" s="31"/>
      <c r="F159" s="31"/>
      <c r="G159" s="32" t="s">
        <v>101</v>
      </c>
      <c r="H159" s="32"/>
      <c r="I159" s="32" t="s">
        <v>231</v>
      </c>
      <c r="J159" s="32"/>
      <c r="K159" s="33" t="s">
        <v>175</v>
      </c>
      <c r="L159" s="33"/>
      <c r="M159" s="34">
        <f>3110000</f>
        <v>3110000</v>
      </c>
      <c r="N159" s="34"/>
      <c r="O159" s="34">
        <f>2988400</f>
        <v>2988400</v>
      </c>
      <c r="P159" s="34"/>
      <c r="Q159" s="34"/>
      <c r="R159" s="34"/>
      <c r="S159" s="34"/>
      <c r="T159" s="35">
        <f>121600</f>
        <v>121600</v>
      </c>
      <c r="U159" s="35"/>
    </row>
    <row r="160" spans="1:21" s="1" customFormat="1" ht="24" customHeight="1">
      <c r="A160" s="31" t="s">
        <v>173</v>
      </c>
      <c r="B160" s="31"/>
      <c r="C160" s="31"/>
      <c r="D160" s="31"/>
      <c r="E160" s="31"/>
      <c r="F160" s="31"/>
      <c r="G160" s="32" t="s">
        <v>101</v>
      </c>
      <c r="H160" s="32"/>
      <c r="I160" s="32" t="s">
        <v>232</v>
      </c>
      <c r="J160" s="32"/>
      <c r="K160" s="33" t="s">
        <v>175</v>
      </c>
      <c r="L160" s="33"/>
      <c r="M160" s="34">
        <f>100000</f>
        <v>100000</v>
      </c>
      <c r="N160" s="34"/>
      <c r="O160" s="34">
        <f>99400</f>
        <v>99400</v>
      </c>
      <c r="P160" s="34"/>
      <c r="Q160" s="34"/>
      <c r="R160" s="34"/>
      <c r="S160" s="34"/>
      <c r="T160" s="35">
        <f>600</f>
        <v>600</v>
      </c>
      <c r="U160" s="35"/>
    </row>
    <row r="161" spans="1:21" s="1" customFormat="1" ht="15" customHeight="1">
      <c r="A161" s="38" t="s">
        <v>233</v>
      </c>
      <c r="B161" s="38"/>
      <c r="C161" s="38"/>
      <c r="D161" s="38"/>
      <c r="E161" s="38"/>
      <c r="F161" s="38"/>
      <c r="G161" s="39" t="s">
        <v>234</v>
      </c>
      <c r="H161" s="39"/>
      <c r="I161" s="39" t="s">
        <v>36</v>
      </c>
      <c r="J161" s="39"/>
      <c r="K161" s="40" t="s">
        <v>36</v>
      </c>
      <c r="L161" s="40"/>
      <c r="M161" s="41">
        <f>-15465305.3</f>
        <v>-15465305.3</v>
      </c>
      <c r="N161" s="41"/>
      <c r="O161" s="41">
        <f>-1167081.15</f>
        <v>-1167081.15</v>
      </c>
      <c r="P161" s="41"/>
      <c r="Q161" s="41"/>
      <c r="R161" s="41"/>
      <c r="S161" s="41"/>
      <c r="T161" s="42" t="s">
        <v>36</v>
      </c>
      <c r="U161" s="42"/>
    </row>
    <row r="162" spans="1:21" s="1" customFormat="1" ht="13.5" customHeight="1">
      <c r="A162" s="7" t="s">
        <v>10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s="1" customFormat="1" ht="13.5" customHeight="1">
      <c r="A163" s="12" t="s">
        <v>235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s="1" customFormat="1" ht="45.75" customHeight="1">
      <c r="A164" s="13" t="s">
        <v>22</v>
      </c>
      <c r="B164" s="13"/>
      <c r="C164" s="13"/>
      <c r="D164" s="13"/>
      <c r="E164" s="13"/>
      <c r="F164" s="13"/>
      <c r="G164" s="13"/>
      <c r="H164" s="13" t="s">
        <v>23</v>
      </c>
      <c r="I164" s="13"/>
      <c r="J164" s="13" t="s">
        <v>236</v>
      </c>
      <c r="K164" s="13"/>
      <c r="L164" s="14" t="s">
        <v>25</v>
      </c>
      <c r="M164" s="14"/>
      <c r="N164" s="14" t="s">
        <v>26</v>
      </c>
      <c r="O164" s="14"/>
      <c r="P164" s="14"/>
      <c r="Q164" s="14"/>
      <c r="R164" s="14"/>
      <c r="S164" s="15" t="s">
        <v>27</v>
      </c>
      <c r="T164" s="15"/>
      <c r="U164" s="15"/>
    </row>
    <row r="165" spans="1:21" s="1" customFormat="1" ht="12.75" customHeight="1">
      <c r="A165" s="16" t="s">
        <v>28</v>
      </c>
      <c r="B165" s="16"/>
      <c r="C165" s="16"/>
      <c r="D165" s="16"/>
      <c r="E165" s="16"/>
      <c r="F165" s="16"/>
      <c r="G165" s="16"/>
      <c r="H165" s="16" t="s">
        <v>29</v>
      </c>
      <c r="I165" s="16"/>
      <c r="J165" s="16" t="s">
        <v>30</v>
      </c>
      <c r="K165" s="16"/>
      <c r="L165" s="17" t="s">
        <v>31</v>
      </c>
      <c r="M165" s="17"/>
      <c r="N165" s="17" t="s">
        <v>32</v>
      </c>
      <c r="O165" s="17"/>
      <c r="P165" s="17"/>
      <c r="Q165" s="17"/>
      <c r="R165" s="17"/>
      <c r="S165" s="18" t="s">
        <v>33</v>
      </c>
      <c r="T165" s="18"/>
      <c r="U165" s="18"/>
    </row>
    <row r="166" spans="1:21" s="1" customFormat="1" ht="13.5" customHeight="1">
      <c r="A166" s="19" t="s">
        <v>237</v>
      </c>
      <c r="B166" s="19"/>
      <c r="C166" s="19"/>
      <c r="D166" s="19"/>
      <c r="E166" s="19"/>
      <c r="F166" s="19"/>
      <c r="G166" s="19"/>
      <c r="H166" s="20" t="s">
        <v>238</v>
      </c>
      <c r="I166" s="20"/>
      <c r="J166" s="20" t="s">
        <v>36</v>
      </c>
      <c r="K166" s="20"/>
      <c r="L166" s="43">
        <f>15465305.3</f>
        <v>15465305.3</v>
      </c>
      <c r="M166" s="43"/>
      <c r="N166" s="44" t="s">
        <v>41</v>
      </c>
      <c r="O166" s="44"/>
      <c r="P166" s="44"/>
      <c r="Q166" s="44"/>
      <c r="R166" s="44"/>
      <c r="S166" s="45" t="s">
        <v>36</v>
      </c>
      <c r="T166" s="45"/>
      <c r="U166" s="45"/>
    </row>
    <row r="167" spans="1:21" s="1" customFormat="1" ht="13.5" customHeight="1">
      <c r="A167" s="46" t="s">
        <v>239</v>
      </c>
      <c r="B167" s="46"/>
      <c r="C167" s="46"/>
      <c r="D167" s="46"/>
      <c r="E167" s="46"/>
      <c r="F167" s="46"/>
      <c r="G167" s="46"/>
      <c r="H167" s="47" t="s">
        <v>10</v>
      </c>
      <c r="I167" s="47"/>
      <c r="J167" s="47" t="s">
        <v>10</v>
      </c>
      <c r="K167" s="47"/>
      <c r="L167" s="48" t="s">
        <v>10</v>
      </c>
      <c r="M167" s="48"/>
      <c r="N167" s="49" t="s">
        <v>10</v>
      </c>
      <c r="O167" s="49"/>
      <c r="P167" s="49"/>
      <c r="Q167" s="49"/>
      <c r="R167" s="49"/>
      <c r="S167" s="50" t="s">
        <v>10</v>
      </c>
      <c r="T167" s="50"/>
      <c r="U167" s="50"/>
    </row>
    <row r="168" spans="1:21" s="1" customFormat="1" ht="13.5" customHeight="1">
      <c r="A168" s="23" t="s">
        <v>240</v>
      </c>
      <c r="B168" s="23"/>
      <c r="C168" s="23"/>
      <c r="D168" s="23"/>
      <c r="E168" s="23"/>
      <c r="F168" s="23"/>
      <c r="G168" s="23"/>
      <c r="H168" s="51" t="s">
        <v>241</v>
      </c>
      <c r="I168" s="51"/>
      <c r="J168" s="24" t="s">
        <v>36</v>
      </c>
      <c r="K168" s="24"/>
      <c r="L168" s="52" t="s">
        <v>41</v>
      </c>
      <c r="M168" s="52"/>
      <c r="N168" s="28" t="s">
        <v>41</v>
      </c>
      <c r="O168" s="28"/>
      <c r="P168" s="28"/>
      <c r="Q168" s="28"/>
      <c r="R168" s="28"/>
      <c r="S168" s="53" t="s">
        <v>41</v>
      </c>
      <c r="T168" s="53"/>
      <c r="U168" s="53"/>
    </row>
    <row r="169" spans="1:21" s="1" customFormat="1" ht="13.5" customHeight="1">
      <c r="A169" s="31" t="s">
        <v>10</v>
      </c>
      <c r="B169" s="31"/>
      <c r="C169" s="31"/>
      <c r="D169" s="31"/>
      <c r="E169" s="31"/>
      <c r="F169" s="31"/>
      <c r="G169" s="31"/>
      <c r="H169" s="32" t="s">
        <v>241</v>
      </c>
      <c r="I169" s="32"/>
      <c r="J169" s="32" t="s">
        <v>10</v>
      </c>
      <c r="K169" s="32"/>
      <c r="L169" s="54" t="s">
        <v>41</v>
      </c>
      <c r="M169" s="54"/>
      <c r="N169" s="36" t="s">
        <v>41</v>
      </c>
      <c r="O169" s="36"/>
      <c r="P169" s="36"/>
      <c r="Q169" s="36"/>
      <c r="R169" s="36"/>
      <c r="S169" s="55" t="s">
        <v>41</v>
      </c>
      <c r="T169" s="55"/>
      <c r="U169" s="55"/>
    </row>
    <row r="170" spans="1:21" s="1" customFormat="1" ht="13.5" customHeight="1">
      <c r="A170" s="31" t="s">
        <v>242</v>
      </c>
      <c r="B170" s="31"/>
      <c r="C170" s="31"/>
      <c r="D170" s="31"/>
      <c r="E170" s="31"/>
      <c r="F170" s="31"/>
      <c r="G170" s="31"/>
      <c r="H170" s="47" t="s">
        <v>243</v>
      </c>
      <c r="I170" s="47"/>
      <c r="J170" s="47" t="s">
        <v>36</v>
      </c>
      <c r="K170" s="47"/>
      <c r="L170" s="48" t="s">
        <v>41</v>
      </c>
      <c r="M170" s="48"/>
      <c r="N170" s="36" t="s">
        <v>41</v>
      </c>
      <c r="O170" s="36"/>
      <c r="P170" s="36"/>
      <c r="Q170" s="36"/>
      <c r="R170" s="36"/>
      <c r="S170" s="50" t="s">
        <v>41</v>
      </c>
      <c r="T170" s="50"/>
      <c r="U170" s="50"/>
    </row>
    <row r="171" spans="1:21" s="1" customFormat="1" ht="13.5" customHeight="1">
      <c r="A171" s="31" t="s">
        <v>10</v>
      </c>
      <c r="B171" s="31"/>
      <c r="C171" s="31"/>
      <c r="D171" s="31"/>
      <c r="E171" s="31"/>
      <c r="F171" s="31"/>
      <c r="G171" s="31"/>
      <c r="H171" s="32" t="s">
        <v>243</v>
      </c>
      <c r="I171" s="32"/>
      <c r="J171" s="32" t="s">
        <v>10</v>
      </c>
      <c r="K171" s="32"/>
      <c r="L171" s="54" t="s">
        <v>41</v>
      </c>
      <c r="M171" s="54"/>
      <c r="N171" s="36" t="s">
        <v>41</v>
      </c>
      <c r="O171" s="36"/>
      <c r="P171" s="36"/>
      <c r="Q171" s="36"/>
      <c r="R171" s="36"/>
      <c r="S171" s="55" t="s">
        <v>41</v>
      </c>
      <c r="T171" s="55"/>
      <c r="U171" s="55"/>
    </row>
    <row r="172" spans="1:21" s="1" customFormat="1" ht="13.5" customHeight="1">
      <c r="A172" s="31" t="s">
        <v>244</v>
      </c>
      <c r="B172" s="31"/>
      <c r="C172" s="31"/>
      <c r="D172" s="31"/>
      <c r="E172" s="31"/>
      <c r="F172" s="31"/>
      <c r="G172" s="31"/>
      <c r="H172" s="32" t="s">
        <v>245</v>
      </c>
      <c r="I172" s="32"/>
      <c r="J172" s="32" t="s">
        <v>246</v>
      </c>
      <c r="K172" s="32"/>
      <c r="L172" s="56">
        <f>15465305.3</f>
        <v>15465305.3</v>
      </c>
      <c r="M172" s="56"/>
      <c r="N172" s="36" t="s">
        <v>41</v>
      </c>
      <c r="O172" s="36"/>
      <c r="P172" s="36"/>
      <c r="Q172" s="36"/>
      <c r="R172" s="36"/>
      <c r="S172" s="57">
        <f>15465305.3</f>
        <v>15465305.3</v>
      </c>
      <c r="T172" s="57"/>
      <c r="U172" s="57"/>
    </row>
    <row r="173" spans="1:21" s="1" customFormat="1" ht="13.5" customHeight="1">
      <c r="A173" s="31" t="s">
        <v>247</v>
      </c>
      <c r="B173" s="31"/>
      <c r="C173" s="31"/>
      <c r="D173" s="31"/>
      <c r="E173" s="31"/>
      <c r="F173" s="31"/>
      <c r="G173" s="31"/>
      <c r="H173" s="32" t="s">
        <v>248</v>
      </c>
      <c r="I173" s="32"/>
      <c r="J173" s="32" t="s">
        <v>249</v>
      </c>
      <c r="K173" s="32"/>
      <c r="L173" s="56">
        <f>-146553811.57</f>
        <v>-146553811.57</v>
      </c>
      <c r="M173" s="56"/>
      <c r="N173" s="36" t="s">
        <v>41</v>
      </c>
      <c r="O173" s="36"/>
      <c r="P173" s="36"/>
      <c r="Q173" s="36"/>
      <c r="R173" s="36"/>
      <c r="S173" s="58" t="s">
        <v>36</v>
      </c>
      <c r="T173" s="58"/>
      <c r="U173" s="58"/>
    </row>
    <row r="174" spans="1:21" s="1" customFormat="1" ht="13.5" customHeight="1">
      <c r="A174" s="31" t="s">
        <v>250</v>
      </c>
      <c r="B174" s="31"/>
      <c r="C174" s="31"/>
      <c r="D174" s="31"/>
      <c r="E174" s="31"/>
      <c r="F174" s="31"/>
      <c r="G174" s="31"/>
      <c r="H174" s="32" t="s">
        <v>251</v>
      </c>
      <c r="I174" s="32"/>
      <c r="J174" s="32" t="s">
        <v>252</v>
      </c>
      <c r="K174" s="32"/>
      <c r="L174" s="56">
        <f>162019116.87</f>
        <v>162019116.87</v>
      </c>
      <c r="M174" s="56"/>
      <c r="N174" s="36" t="s">
        <v>41</v>
      </c>
      <c r="O174" s="36"/>
      <c r="P174" s="36"/>
      <c r="Q174" s="36"/>
      <c r="R174" s="36"/>
      <c r="S174" s="58" t="s">
        <v>36</v>
      </c>
      <c r="T174" s="58"/>
      <c r="U174" s="58"/>
    </row>
    <row r="175" spans="1:21" s="1" customFormat="1" ht="13.5" customHeight="1">
      <c r="A175" s="59" t="s">
        <v>10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</row>
    <row r="176" spans="1:21" s="1" customFormat="1" ht="15.75" customHeight="1">
      <c r="A176" s="7" t="s">
        <v>10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s="1" customFormat="1" ht="13.5" customHeight="1">
      <c r="A177" s="60" t="s">
        <v>253</v>
      </c>
      <c r="B177" s="60"/>
      <c r="C177" s="60"/>
      <c r="D177" s="60"/>
      <c r="E177" s="60"/>
      <c r="F177" s="7" t="s">
        <v>10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s="1" customFormat="1" ht="13.5" customHeight="1">
      <c r="A178" s="4" t="s">
        <v>254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</sheetData>
  <sheetProtection/>
  <mergeCells count="1109">
    <mergeCell ref="A175:U175"/>
    <mergeCell ref="A176:U176"/>
    <mergeCell ref="A177:E177"/>
    <mergeCell ref="F177:U177"/>
    <mergeCell ref="A178:U178"/>
    <mergeCell ref="A174:G174"/>
    <mergeCell ref="H174:I174"/>
    <mergeCell ref="J174:K174"/>
    <mergeCell ref="L174:M174"/>
    <mergeCell ref="N174:R174"/>
    <mergeCell ref="S174:U174"/>
    <mergeCell ref="A173:G173"/>
    <mergeCell ref="H173:I173"/>
    <mergeCell ref="J173:K173"/>
    <mergeCell ref="L173:M173"/>
    <mergeCell ref="N173:R173"/>
    <mergeCell ref="S173:U173"/>
    <mergeCell ref="A172:G172"/>
    <mergeCell ref="H172:I172"/>
    <mergeCell ref="J172:K172"/>
    <mergeCell ref="L172:M172"/>
    <mergeCell ref="N172:R172"/>
    <mergeCell ref="S172:U172"/>
    <mergeCell ref="A171:G171"/>
    <mergeCell ref="H171:I171"/>
    <mergeCell ref="J171:K171"/>
    <mergeCell ref="L171:M171"/>
    <mergeCell ref="N171:R171"/>
    <mergeCell ref="S171:U171"/>
    <mergeCell ref="A170:G170"/>
    <mergeCell ref="H170:I170"/>
    <mergeCell ref="J170:K170"/>
    <mergeCell ref="L170:M170"/>
    <mergeCell ref="N170:R170"/>
    <mergeCell ref="S170:U170"/>
    <mergeCell ref="A169:G169"/>
    <mergeCell ref="H169:I169"/>
    <mergeCell ref="J169:K169"/>
    <mergeCell ref="L169:M169"/>
    <mergeCell ref="N169:R169"/>
    <mergeCell ref="S169:U169"/>
    <mergeCell ref="A168:G168"/>
    <mergeCell ref="H168:I168"/>
    <mergeCell ref="J168:K168"/>
    <mergeCell ref="L168:M168"/>
    <mergeCell ref="N168:R168"/>
    <mergeCell ref="S168:U168"/>
    <mergeCell ref="A167:G167"/>
    <mergeCell ref="H167:I167"/>
    <mergeCell ref="J167:K167"/>
    <mergeCell ref="L167:M167"/>
    <mergeCell ref="N167:R167"/>
    <mergeCell ref="S167:U167"/>
    <mergeCell ref="A166:G166"/>
    <mergeCell ref="H166:I166"/>
    <mergeCell ref="J166:K166"/>
    <mergeCell ref="L166:M166"/>
    <mergeCell ref="N166:R166"/>
    <mergeCell ref="S166:U166"/>
    <mergeCell ref="A165:G165"/>
    <mergeCell ref="H165:I165"/>
    <mergeCell ref="J165:K165"/>
    <mergeCell ref="L165:M165"/>
    <mergeCell ref="N165:R165"/>
    <mergeCell ref="S165:U165"/>
    <mergeCell ref="T161:U161"/>
    <mergeCell ref="A162:U162"/>
    <mergeCell ref="A163:U163"/>
    <mergeCell ref="A164:G164"/>
    <mergeCell ref="H164:I164"/>
    <mergeCell ref="J164:K164"/>
    <mergeCell ref="L164:M164"/>
    <mergeCell ref="N164:R164"/>
    <mergeCell ref="S164:U164"/>
    <mergeCell ref="A161:F161"/>
    <mergeCell ref="G161:H161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A42:U42"/>
    <mergeCell ref="A43:U43"/>
    <mergeCell ref="A44:F44"/>
    <mergeCell ref="G44:H44"/>
    <mergeCell ref="I44:J44"/>
    <mergeCell ref="K44:L44"/>
    <mergeCell ref="M44:N44"/>
    <mergeCell ref="O44:S44"/>
    <mergeCell ref="T44:U44"/>
    <mergeCell ref="A41:G41"/>
    <mergeCell ref="H41:I41"/>
    <mergeCell ref="J41:K41"/>
    <mergeCell ref="L41:M41"/>
    <mergeCell ref="N41:R41"/>
    <mergeCell ref="S41:U41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6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Инна Борисовна Михайличенко</cp:lastModifiedBy>
  <dcterms:created xsi:type="dcterms:W3CDTF">2021-12-02T12:19:58Z</dcterms:created>
  <dcterms:modified xsi:type="dcterms:W3CDTF">2021-12-02T12:19:58Z</dcterms:modified>
  <cp:category/>
  <cp:version/>
  <cp:contentType/>
  <cp:contentStatus/>
</cp:coreProperties>
</file>